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trlProps/ctrlProp3.xml" ContentType="application/vnd.ms-excel.controlproperties+xml"/>
  <Override PartName="/xl/tables/table1.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embeddings/oleObject6.bin" ContentType="application/vnd.openxmlformats-officedocument.oleObject"/>
  <Override PartName="/xl/ctrlProps/ctrlProp7.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embeddings/oleObject7.bin" ContentType="application/vnd.openxmlformats-officedocument.oleObject"/>
  <Override PartName="/xl/comments6.xml" ContentType="application/vnd.openxmlformats-officedocument.spreadsheetml.comments+xml"/>
  <Override PartName="/xl/drawings/drawing8.xml" ContentType="application/vnd.openxmlformats-officedocument.drawing+xml"/>
  <Override PartName="/xl/embeddings/oleObject8.bin" ContentType="application/vnd.openxmlformats-officedocument.oleObject"/>
  <Override PartName="/xl/ctrlProps/ctrlProp8.xml" ContentType="application/vnd.ms-excel.controlproperties+xml"/>
  <Override PartName="/xl/drawings/drawing9.xml" ContentType="application/vnd.openxmlformats-officedocument.drawing+xml"/>
  <Override PartName="/xl/embeddings/oleObject9.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1_2020_21 Fertilizantes TF\Aulas práticas\Soluções nutritivas\NS Calculator_Excel original\"/>
    </mc:Choice>
  </mc:AlternateContent>
  <bookViews>
    <workbookView showSheetTabs="0" xWindow="0" yWindow="0" windowWidth="14380" windowHeight="3420" tabRatio="850" activeTab="1"/>
  </bookViews>
  <sheets>
    <sheet name="Istruzioni" sheetId="7" r:id="rId1"/>
    <sheet name="Parametri" sheetId="2" r:id="rId2"/>
    <sheet name="Acidi &amp; concimi" sheetId="8" r:id="rId3"/>
    <sheet name="Formule nutritive" sheetId="3" r:id="rId4"/>
    <sheet name="Calcolo" sheetId="1" r:id="rId5"/>
    <sheet name="Stampa" sheetId="5" r:id="rId6"/>
    <sheet name="Test precipitazioni" sheetId="9" r:id="rId7"/>
    <sheet name="Convertitore" sheetId="10" r:id="rId8"/>
    <sheet name="home" sheetId="11" r:id="rId9"/>
  </sheets>
  <definedNames>
    <definedName name="_xlnm._FilterDatabase" localSheetId="3" hidden="1">'Formule nutritive'!$BA$8:$BQ$58</definedName>
    <definedName name="_xlnm.Print_Area" localSheetId="4">Calcolo!$B$15:$G$69</definedName>
    <definedName name="_xlnm.Print_Area" localSheetId="7">Convertitore!$A$1:$Q$24</definedName>
    <definedName name="_xlnm.Print_Area" localSheetId="3">'Formule nutritive'!$A$6:$R$58</definedName>
    <definedName name="_xlnm.Print_Area" localSheetId="0">Istruzioni!$A$1:$M$32</definedName>
    <definedName name="_xlnm.Print_Area" localSheetId="1">'Acidi &amp; concimi'!$B$10:$M$53</definedName>
    <definedName name="_xlnm.Print_Area" localSheetId="5">Stampa!$A$14:$R$80</definedName>
    <definedName name="_xlnm.Print_Area" localSheetId="6">'Test precipitazioni'!$A$22:$K$71</definedName>
    <definedName name="Coltura_Stadio">'Formule nutritive'!$BA$9:$BA$58</definedName>
    <definedName name="elenco_ricette">'Formule nutritive'!$Z$9:$AA$58</definedName>
    <definedName name="precip_A">'Test precipitazioni'!$I$36</definedName>
    <definedName name="precip_B">'Test precipitazioni'!$I$71</definedName>
  </definedNames>
  <calcPr calcId="162913"/>
</workbook>
</file>

<file path=xl/calcChain.xml><?xml version="1.0" encoding="utf-8"?>
<calcChain xmlns="http://schemas.openxmlformats.org/spreadsheetml/2006/main">
  <c r="I42" i="2" l="1"/>
  <c r="E71" i="1"/>
  <c r="E69" i="1"/>
  <c r="E67" i="1"/>
  <c r="E65" i="1"/>
  <c r="E63" i="1"/>
  <c r="E61" i="1"/>
  <c r="E55" i="1"/>
  <c r="E54" i="1"/>
  <c r="E50" i="1"/>
  <c r="E43" i="1"/>
  <c r="E36" i="1"/>
  <c r="E35" i="1"/>
  <c r="E31" i="1"/>
  <c r="E30" i="1"/>
  <c r="E20" i="1"/>
  <c r="E19" i="1"/>
  <c r="E18" i="1"/>
  <c r="AP55" i="8"/>
  <c r="AP43" i="8"/>
  <c r="AP44" i="8"/>
  <c r="AP45" i="8"/>
  <c r="AP46" i="8"/>
  <c r="AP47" i="8"/>
  <c r="AP48" i="8"/>
  <c r="AP49" i="8"/>
  <c r="AP50" i="8"/>
  <c r="AP51" i="8"/>
  <c r="AP52" i="8"/>
  <c r="AP53" i="8"/>
  <c r="AP42" i="8"/>
  <c r="AP38" i="8"/>
  <c r="N54" i="1"/>
  <c r="AP39" i="8"/>
  <c r="AP37" i="8"/>
  <c r="AP34" i="8"/>
  <c r="AP35" i="8"/>
  <c r="N50" i="1"/>
  <c r="AP33" i="8"/>
  <c r="N46" i="1" s="1"/>
  <c r="AP31" i="8"/>
  <c r="AP30" i="8"/>
  <c r="AP28" i="8"/>
  <c r="AP25" i="8"/>
  <c r="N35" i="1" s="1"/>
  <c r="AP26" i="8"/>
  <c r="N36" i="1"/>
  <c r="AP24" i="8"/>
  <c r="AP21" i="8"/>
  <c r="N30" i="1" s="1"/>
  <c r="AP22" i="8"/>
  <c r="AP20" i="8"/>
  <c r="N29" i="1" s="1"/>
  <c r="AP17" i="8"/>
  <c r="N25" i="1" s="1"/>
  <c r="AP18" i="8"/>
  <c r="AP16" i="8"/>
  <c r="AP12" i="8"/>
  <c r="N19" i="1" s="1"/>
  <c r="K27" i="2"/>
  <c r="R24" i="2"/>
  <c r="Q24" i="2"/>
  <c r="P24" i="2"/>
  <c r="O24" i="2"/>
  <c r="N24" i="2"/>
  <c r="M24" i="2"/>
  <c r="L24" i="2"/>
  <c r="K24" i="2"/>
  <c r="J24" i="2"/>
  <c r="I24" i="2"/>
  <c r="H24" i="2"/>
  <c r="G24" i="2"/>
  <c r="F24" i="2"/>
  <c r="E24" i="2"/>
  <c r="D24" i="2"/>
  <c r="C24" i="2"/>
  <c r="BA9" i="3"/>
  <c r="BA10" i="3"/>
  <c r="BA11" i="3"/>
  <c r="BA12" i="3"/>
  <c r="BA13" i="3"/>
  <c r="BA14" i="3"/>
  <c r="BA15" i="3"/>
  <c r="BA16" i="3"/>
  <c r="BA17" i="3"/>
  <c r="BA18" i="3"/>
  <c r="BA19" i="3"/>
  <c r="BA20" i="3"/>
  <c r="BA21" i="3"/>
  <c r="BA22" i="3"/>
  <c r="BA23" i="3"/>
  <c r="BA24" i="3"/>
  <c r="BA25" i="3"/>
  <c r="BA26" i="3"/>
  <c r="BA27" i="3"/>
  <c r="BA28" i="3"/>
  <c r="BA29" i="3"/>
  <c r="BA30" i="3"/>
  <c r="BA31" i="3"/>
  <c r="BA32" i="3"/>
  <c r="BA33" i="3"/>
  <c r="BA34" i="3"/>
  <c r="BA35" i="3"/>
  <c r="BA36" i="3"/>
  <c r="BA37" i="3"/>
  <c r="BA38" i="3"/>
  <c r="BA39" i="3"/>
  <c r="BA40" i="3"/>
  <c r="BA41" i="3"/>
  <c r="BA42" i="3"/>
  <c r="BA43" i="3"/>
  <c r="BA44" i="3"/>
  <c r="BA45" i="3"/>
  <c r="BA46" i="3"/>
  <c r="BA47" i="3"/>
  <c r="BA48" i="3"/>
  <c r="BA49" i="3"/>
  <c r="BA50" i="3"/>
  <c r="BA51" i="3"/>
  <c r="BA52" i="3"/>
  <c r="BA53" i="3"/>
  <c r="BA54" i="3"/>
  <c r="BA55" i="3"/>
  <c r="BA56" i="3"/>
  <c r="BA57" i="3"/>
  <c r="BA58" i="3"/>
  <c r="R36" i="2"/>
  <c r="B18" i="2"/>
  <c r="B24" i="2" s="1"/>
  <c r="R26" i="5"/>
  <c r="R27" i="5" s="1"/>
  <c r="R28" i="5"/>
  <c r="Q26" i="5"/>
  <c r="Q27" i="5" s="1"/>
  <c r="Q28" i="5" s="1"/>
  <c r="P26" i="5"/>
  <c r="P27" i="5"/>
  <c r="P28" i="5"/>
  <c r="O26" i="5"/>
  <c r="O27" i="5"/>
  <c r="O28" i="5"/>
  <c r="N26" i="5"/>
  <c r="N27" i="5" s="1"/>
  <c r="N28" i="5" s="1"/>
  <c r="M26" i="5"/>
  <c r="M27" i="5"/>
  <c r="M28" i="5" s="1"/>
  <c r="L26" i="5"/>
  <c r="L27" i="5" s="1"/>
  <c r="L28" i="5" s="1"/>
  <c r="K26" i="5"/>
  <c r="K27" i="5"/>
  <c r="K28" i="5" s="1"/>
  <c r="J26" i="5"/>
  <c r="J27" i="5" s="1"/>
  <c r="J28" i="5"/>
  <c r="I26" i="5"/>
  <c r="I27" i="5" s="1"/>
  <c r="I28" i="5" s="1"/>
  <c r="H26" i="5"/>
  <c r="H27" i="5"/>
  <c r="H28" i="5"/>
  <c r="G26" i="5"/>
  <c r="G27" i="5"/>
  <c r="G28" i="5"/>
  <c r="F26" i="5"/>
  <c r="F27" i="5" s="1"/>
  <c r="F28" i="5" s="1"/>
  <c r="E26" i="5"/>
  <c r="E27" i="5"/>
  <c r="E28" i="5" s="1"/>
  <c r="D26" i="5"/>
  <c r="D27" i="5" s="1"/>
  <c r="D28" i="5" s="1"/>
  <c r="C26" i="5"/>
  <c r="C27" i="5"/>
  <c r="C28" i="5" s="1"/>
  <c r="BD9" i="3"/>
  <c r="BF9" i="3"/>
  <c r="BG9" i="3"/>
  <c r="BH9" i="3"/>
  <c r="BI9" i="3"/>
  <c r="BQ9" i="3"/>
  <c r="BP9" i="3"/>
  <c r="BO9" i="3"/>
  <c r="BN9" i="3"/>
  <c r="BM9" i="3"/>
  <c r="BL9" i="3"/>
  <c r="BK9" i="3"/>
  <c r="BJ9" i="3"/>
  <c r="BE9" i="3"/>
  <c r="BC9" i="3"/>
  <c r="AW42" i="8"/>
  <c r="U58" i="1" s="1"/>
  <c r="AW16" i="8"/>
  <c r="U24" i="1"/>
  <c r="AW17" i="8"/>
  <c r="U25" i="1" s="1"/>
  <c r="AW18" i="8"/>
  <c r="U26" i="1"/>
  <c r="AW20" i="8"/>
  <c r="U29" i="1" s="1"/>
  <c r="AW21" i="8"/>
  <c r="U30" i="1"/>
  <c r="AW22" i="8"/>
  <c r="U31" i="1" s="1"/>
  <c r="U34" i="1"/>
  <c r="AW24" i="8"/>
  <c r="U35" i="1" s="1"/>
  <c r="AW25" i="8"/>
  <c r="U36" i="1" s="1"/>
  <c r="AW28" i="8"/>
  <c r="U39" i="1"/>
  <c r="AW30" i="8"/>
  <c r="U42" i="1" s="1"/>
  <c r="AW31" i="8"/>
  <c r="U43" i="1"/>
  <c r="AW33" i="8"/>
  <c r="U46" i="1" s="1"/>
  <c r="AW34" i="8"/>
  <c r="U49" i="1" s="1"/>
  <c r="AW35" i="8"/>
  <c r="U50" i="1" s="1"/>
  <c r="AW37" i="8"/>
  <c r="U53" i="1" s="1"/>
  <c r="AW38" i="8"/>
  <c r="U54" i="1" s="1"/>
  <c r="AW39" i="8"/>
  <c r="U55" i="1"/>
  <c r="AW43" i="8"/>
  <c r="U59" i="1" s="1"/>
  <c r="AW44" i="8"/>
  <c r="U60" i="1"/>
  <c r="AW45" i="8"/>
  <c r="U61" i="1" s="1"/>
  <c r="AW46" i="8"/>
  <c r="U62" i="1" s="1"/>
  <c r="AW47" i="8"/>
  <c r="U63" i="1" s="1"/>
  <c r="AW48" i="8"/>
  <c r="U64" i="1" s="1"/>
  <c r="AW49" i="8"/>
  <c r="U65" i="1" s="1"/>
  <c r="AW50" i="8"/>
  <c r="U66" i="1"/>
  <c r="AW51" i="8"/>
  <c r="U67" i="1" s="1"/>
  <c r="AW52" i="8"/>
  <c r="U68" i="1"/>
  <c r="AW53" i="8"/>
  <c r="U69" i="1" s="1"/>
  <c r="AW55" i="8"/>
  <c r="U71" i="1" s="1"/>
  <c r="U10" i="1"/>
  <c r="AV42" i="8"/>
  <c r="T58" i="1"/>
  <c r="AV16" i="8"/>
  <c r="T24" i="1"/>
  <c r="AV17" i="8"/>
  <c r="T25" i="1"/>
  <c r="AV18" i="8"/>
  <c r="T26" i="1"/>
  <c r="AV20" i="8"/>
  <c r="T29" i="1"/>
  <c r="AV21" i="8"/>
  <c r="T30" i="1"/>
  <c r="AV22" i="8"/>
  <c r="T31" i="1"/>
  <c r="AV24" i="8"/>
  <c r="T35" i="1" s="1"/>
  <c r="T34" i="1"/>
  <c r="AV25" i="8"/>
  <c r="T36" i="1" s="1"/>
  <c r="AV28" i="8"/>
  <c r="T39" i="1" s="1"/>
  <c r="AV30" i="8"/>
  <c r="T42" i="1"/>
  <c r="AV31" i="8"/>
  <c r="T43" i="1" s="1"/>
  <c r="AV33" i="8"/>
  <c r="T46" i="1"/>
  <c r="AV34" i="8"/>
  <c r="T49" i="1" s="1"/>
  <c r="AV35" i="8"/>
  <c r="T50" i="1" s="1"/>
  <c r="AV37" i="8"/>
  <c r="T53" i="1" s="1"/>
  <c r="AV38" i="8"/>
  <c r="T54" i="1" s="1"/>
  <c r="AV39" i="8"/>
  <c r="T55" i="1" s="1"/>
  <c r="AV43" i="8"/>
  <c r="T59" i="1"/>
  <c r="AV44" i="8"/>
  <c r="T60" i="1" s="1"/>
  <c r="AV45" i="8"/>
  <c r="T61" i="1"/>
  <c r="AV46" i="8"/>
  <c r="T62" i="1" s="1"/>
  <c r="AV47" i="8"/>
  <c r="T63" i="1" s="1"/>
  <c r="AV48" i="8"/>
  <c r="T64" i="1" s="1"/>
  <c r="AV49" i="8"/>
  <c r="T65" i="1" s="1"/>
  <c r="AV50" i="8"/>
  <c r="T66" i="1" s="1"/>
  <c r="AV51" i="8"/>
  <c r="T67" i="1"/>
  <c r="AV52" i="8"/>
  <c r="T68" i="1" s="1"/>
  <c r="AV53" i="8"/>
  <c r="T69" i="1"/>
  <c r="AV55" i="8"/>
  <c r="T71" i="1" s="1"/>
  <c r="T10" i="1"/>
  <c r="AU42" i="8"/>
  <c r="S58" i="1"/>
  <c r="AU16" i="8"/>
  <c r="S24" i="1"/>
  <c r="AU17" i="8"/>
  <c r="S25" i="1"/>
  <c r="AU18" i="8"/>
  <c r="S26" i="1"/>
  <c r="AU20" i="8"/>
  <c r="S29" i="1"/>
  <c r="AU21" i="8"/>
  <c r="S30" i="1"/>
  <c r="AU22" i="8"/>
  <c r="S31" i="1"/>
  <c r="AU24" i="8"/>
  <c r="S34" i="1"/>
  <c r="AU25" i="8"/>
  <c r="S36" i="1"/>
  <c r="AU28" i="8"/>
  <c r="S39" i="1"/>
  <c r="AU30" i="8"/>
  <c r="S42" i="1"/>
  <c r="AU31" i="8"/>
  <c r="S43" i="1"/>
  <c r="AU33" i="8"/>
  <c r="S46" i="1"/>
  <c r="AU34" i="8"/>
  <c r="S49" i="1"/>
  <c r="AU35" i="8"/>
  <c r="S50" i="1"/>
  <c r="AU37" i="8"/>
  <c r="S53" i="1"/>
  <c r="AU38" i="8"/>
  <c r="S54" i="1"/>
  <c r="AU39" i="8"/>
  <c r="S55" i="1"/>
  <c r="AU43" i="8"/>
  <c r="S59" i="1"/>
  <c r="AU44" i="8"/>
  <c r="S60" i="1"/>
  <c r="AU45" i="8"/>
  <c r="S61" i="1"/>
  <c r="AU46" i="8"/>
  <c r="S62" i="1"/>
  <c r="AU47" i="8"/>
  <c r="S63" i="1"/>
  <c r="AU48" i="8"/>
  <c r="S64" i="1"/>
  <c r="AU49" i="8"/>
  <c r="S65" i="1"/>
  <c r="AU50" i="8"/>
  <c r="S66" i="1"/>
  <c r="AU51" i="8"/>
  <c r="S67" i="1"/>
  <c r="AU52" i="8"/>
  <c r="S68" i="1"/>
  <c r="AU53" i="8"/>
  <c r="S69" i="1"/>
  <c r="AU55" i="8"/>
  <c r="S71" i="1"/>
  <c r="S10" i="1"/>
  <c r="AT42" i="8"/>
  <c r="R58" i="1" s="1"/>
  <c r="AT16" i="8"/>
  <c r="R24" i="1" s="1"/>
  <c r="AT17" i="8"/>
  <c r="R25" i="1" s="1"/>
  <c r="AT18" i="8"/>
  <c r="R26" i="1" s="1"/>
  <c r="AT20" i="8"/>
  <c r="R29" i="1" s="1"/>
  <c r="AT21" i="8"/>
  <c r="R30" i="1"/>
  <c r="AT22" i="8"/>
  <c r="R31" i="1" s="1"/>
  <c r="AT24" i="8"/>
  <c r="R34" i="1" s="1"/>
  <c r="R35" i="1"/>
  <c r="AT25" i="8"/>
  <c r="R36" i="1"/>
  <c r="AT28" i="8"/>
  <c r="R39" i="1"/>
  <c r="AT30" i="8"/>
  <c r="R42" i="1"/>
  <c r="AT31" i="8"/>
  <c r="R43" i="1"/>
  <c r="AT33" i="8"/>
  <c r="R46" i="1"/>
  <c r="AT34" i="8"/>
  <c r="R49" i="1"/>
  <c r="AT35" i="8"/>
  <c r="R50" i="1"/>
  <c r="AT37" i="8"/>
  <c r="R53" i="1"/>
  <c r="AT38" i="8"/>
  <c r="R54" i="1"/>
  <c r="AT39" i="8"/>
  <c r="R55" i="1"/>
  <c r="AT43" i="8"/>
  <c r="R59" i="1"/>
  <c r="AT44" i="8"/>
  <c r="R60" i="1"/>
  <c r="AT45" i="8"/>
  <c r="R61" i="1"/>
  <c r="AT46" i="8"/>
  <c r="R62" i="1"/>
  <c r="AT47" i="8"/>
  <c r="R63" i="1"/>
  <c r="AT48" i="8"/>
  <c r="R64" i="1"/>
  <c r="AT49" i="8"/>
  <c r="R65" i="1"/>
  <c r="AT50" i="8"/>
  <c r="R66" i="1"/>
  <c r="AT51" i="8"/>
  <c r="R67" i="1"/>
  <c r="AT52" i="8"/>
  <c r="R68" i="1"/>
  <c r="AT53" i="8"/>
  <c r="R69" i="1"/>
  <c r="AT55" i="8"/>
  <c r="R71" i="1"/>
  <c r="R10" i="1"/>
  <c r="AS42" i="8"/>
  <c r="Q58" i="1" s="1"/>
  <c r="AS16" i="8"/>
  <c r="Q24" i="1" s="1"/>
  <c r="AS17" i="8"/>
  <c r="Q25" i="1" s="1"/>
  <c r="AS18" i="8"/>
  <c r="Q26" i="1" s="1"/>
  <c r="AS20" i="8"/>
  <c r="Q29" i="1"/>
  <c r="AS21" i="8"/>
  <c r="Q30" i="1" s="1"/>
  <c r="AS22" i="8"/>
  <c r="Q31" i="1"/>
  <c r="AS24" i="8"/>
  <c r="AS25" i="8"/>
  <c r="Q36" i="1"/>
  <c r="AS28" i="8"/>
  <c r="Q39" i="1"/>
  <c r="AS30" i="8"/>
  <c r="Q42" i="1"/>
  <c r="AS31" i="8"/>
  <c r="Q43" i="1"/>
  <c r="AS33" i="8"/>
  <c r="Q46" i="1"/>
  <c r="AS34" i="8"/>
  <c r="Q49" i="1"/>
  <c r="AS35" i="8"/>
  <c r="Q50" i="1"/>
  <c r="AS37" i="8"/>
  <c r="Q53" i="1"/>
  <c r="AS38" i="8"/>
  <c r="Q54" i="1"/>
  <c r="AS39" i="8"/>
  <c r="Q55" i="1"/>
  <c r="AS43" i="8"/>
  <c r="Q59" i="1"/>
  <c r="AS44" i="8"/>
  <c r="Q60" i="1"/>
  <c r="AS45" i="8"/>
  <c r="Q61" i="1"/>
  <c r="AS46" i="8"/>
  <c r="Q62" i="1"/>
  <c r="AS47" i="8"/>
  <c r="Q63" i="1"/>
  <c r="AS48" i="8"/>
  <c r="Q64" i="1"/>
  <c r="AS49" i="8"/>
  <c r="Q65" i="1"/>
  <c r="AS50" i="8"/>
  <c r="Q66" i="1"/>
  <c r="AS51" i="8"/>
  <c r="Q67" i="1"/>
  <c r="AS52" i="8"/>
  <c r="Q68" i="1"/>
  <c r="AS53" i="8"/>
  <c r="Q69" i="1"/>
  <c r="AS55" i="8"/>
  <c r="Q71" i="1"/>
  <c r="Q10" i="1"/>
  <c r="P10" i="1"/>
  <c r="AR20" i="8"/>
  <c r="P29" i="1"/>
  <c r="AR21" i="8"/>
  <c r="P30" i="1"/>
  <c r="AR22" i="8"/>
  <c r="P31" i="1"/>
  <c r="AR24" i="8"/>
  <c r="P35" i="1" s="1"/>
  <c r="P34" i="1"/>
  <c r="AR25" i="8"/>
  <c r="P36" i="1" s="1"/>
  <c r="AR28" i="8"/>
  <c r="P39" i="1" s="1"/>
  <c r="AR30" i="8"/>
  <c r="P42" i="1" s="1"/>
  <c r="AR31" i="8"/>
  <c r="P43" i="1" s="1"/>
  <c r="AR33" i="8"/>
  <c r="P46" i="1"/>
  <c r="AR34" i="8"/>
  <c r="P49" i="1" s="1"/>
  <c r="AR35" i="8"/>
  <c r="P50" i="1" s="1"/>
  <c r="AR37" i="8"/>
  <c r="P53" i="1" s="1"/>
  <c r="AR38" i="8"/>
  <c r="P54" i="1" s="1"/>
  <c r="AR39" i="8"/>
  <c r="P55" i="1" s="1"/>
  <c r="AR44" i="8"/>
  <c r="P60" i="1"/>
  <c r="AR45" i="8"/>
  <c r="P61" i="1" s="1"/>
  <c r="AR46" i="8"/>
  <c r="P62" i="1"/>
  <c r="AR47" i="8"/>
  <c r="P63" i="1" s="1"/>
  <c r="AR48" i="8"/>
  <c r="P64" i="1" s="1"/>
  <c r="AR49" i="8"/>
  <c r="P65" i="1" s="1"/>
  <c r="AR50" i="8"/>
  <c r="P66" i="1" s="1"/>
  <c r="AR51" i="8"/>
  <c r="P67" i="1" s="1"/>
  <c r="AR52" i="8"/>
  <c r="P68" i="1" s="1"/>
  <c r="AR53" i="8"/>
  <c r="P69" i="1" s="1"/>
  <c r="AR55" i="8"/>
  <c r="P71" i="1"/>
  <c r="AR16" i="8"/>
  <c r="P24" i="1" s="1"/>
  <c r="AR17" i="8"/>
  <c r="P25" i="1" s="1"/>
  <c r="AR18" i="8"/>
  <c r="P26" i="1" s="1"/>
  <c r="AR42" i="8"/>
  <c r="P58" i="1" s="1"/>
  <c r="AR43" i="8"/>
  <c r="P59" i="1" s="1"/>
  <c r="O10" i="1"/>
  <c r="Q13" i="8"/>
  <c r="AQ13" i="8" s="1"/>
  <c r="O20" i="1" s="1"/>
  <c r="AQ20" i="8"/>
  <c r="O29" i="1"/>
  <c r="AQ21" i="8"/>
  <c r="O30" i="1" s="1"/>
  <c r="AQ22" i="8"/>
  <c r="O31" i="1"/>
  <c r="AQ24" i="8"/>
  <c r="O34" i="1" s="1"/>
  <c r="AQ25" i="8"/>
  <c r="O35" i="1"/>
  <c r="AQ26" i="8"/>
  <c r="O36" i="1" s="1"/>
  <c r="AQ28" i="8"/>
  <c r="O39" i="1"/>
  <c r="AQ30" i="8"/>
  <c r="O42" i="1" s="1"/>
  <c r="AQ31" i="8"/>
  <c r="O43" i="1"/>
  <c r="AQ33" i="8"/>
  <c r="O46" i="1" s="1"/>
  <c r="AQ34" i="8"/>
  <c r="O49" i="1"/>
  <c r="AQ35" i="8"/>
  <c r="O50" i="1" s="1"/>
  <c r="AQ37" i="8"/>
  <c r="O53" i="1"/>
  <c r="AQ38" i="8"/>
  <c r="O54" i="1" s="1"/>
  <c r="AQ39" i="8"/>
  <c r="O55" i="1"/>
  <c r="AQ44" i="8"/>
  <c r="O60" i="1" s="1"/>
  <c r="AQ45" i="8"/>
  <c r="O61" i="1"/>
  <c r="AQ46" i="8"/>
  <c r="O62" i="1" s="1"/>
  <c r="AQ47" i="8"/>
  <c r="O63" i="1"/>
  <c r="AQ48" i="8"/>
  <c r="O64" i="1" s="1"/>
  <c r="AQ49" i="8"/>
  <c r="O65" i="1"/>
  <c r="AQ50" i="8"/>
  <c r="O66" i="1" s="1"/>
  <c r="AQ51" i="8"/>
  <c r="O67" i="1"/>
  <c r="AQ52" i="8"/>
  <c r="O68" i="1" s="1"/>
  <c r="AQ53" i="8"/>
  <c r="O69" i="1"/>
  <c r="AQ55" i="8"/>
  <c r="O71" i="1" s="1"/>
  <c r="AQ16" i="8"/>
  <c r="O24" i="1"/>
  <c r="AQ17" i="8"/>
  <c r="O25" i="1" s="1"/>
  <c r="AQ18" i="8"/>
  <c r="O26" i="1"/>
  <c r="AQ42" i="8"/>
  <c r="O58" i="1" s="1"/>
  <c r="AQ43" i="8"/>
  <c r="O59" i="1"/>
  <c r="N10" i="1"/>
  <c r="P12" i="8"/>
  <c r="N31" i="1"/>
  <c r="N34" i="1"/>
  <c r="N39" i="1"/>
  <c r="N42" i="1"/>
  <c r="N43" i="1"/>
  <c r="N49" i="1"/>
  <c r="N53" i="1"/>
  <c r="N55" i="1"/>
  <c r="N60" i="1"/>
  <c r="N61" i="1"/>
  <c r="N62" i="1"/>
  <c r="N63" i="1"/>
  <c r="N64" i="1"/>
  <c r="N65" i="1"/>
  <c r="N66" i="1"/>
  <c r="N67" i="1"/>
  <c r="N68" i="1"/>
  <c r="N69" i="1"/>
  <c r="N71" i="1"/>
  <c r="N24" i="1"/>
  <c r="N26" i="1"/>
  <c r="N58" i="1"/>
  <c r="N59" i="1"/>
  <c r="M10" i="1"/>
  <c r="AO20" i="8"/>
  <c r="M29" i="1" s="1"/>
  <c r="AO21" i="8"/>
  <c r="M30" i="1" s="1"/>
  <c r="AO22" i="8"/>
  <c r="M31" i="1"/>
  <c r="AO24" i="8"/>
  <c r="M34" i="1" s="1"/>
  <c r="AO25" i="8"/>
  <c r="M35" i="1" s="1"/>
  <c r="AO26" i="8"/>
  <c r="M36" i="1" s="1"/>
  <c r="AO28" i="8"/>
  <c r="M39" i="1" s="1"/>
  <c r="AO30" i="8"/>
  <c r="M42" i="1" s="1"/>
  <c r="AO31" i="8"/>
  <c r="M43" i="1"/>
  <c r="AO33" i="8"/>
  <c r="M46" i="1" s="1"/>
  <c r="AO34" i="8"/>
  <c r="M49" i="1"/>
  <c r="AO35" i="8"/>
  <c r="M50" i="1" s="1"/>
  <c r="AO37" i="8"/>
  <c r="M53" i="1" s="1"/>
  <c r="AO38" i="8"/>
  <c r="M54" i="1" s="1"/>
  <c r="AO39" i="8"/>
  <c r="M55" i="1" s="1"/>
  <c r="AO44" i="8"/>
  <c r="M60" i="1" s="1"/>
  <c r="AO45" i="8"/>
  <c r="M61" i="1" s="1"/>
  <c r="AO46" i="8"/>
  <c r="M62" i="1" s="1"/>
  <c r="AO47" i="8"/>
  <c r="M63" i="1"/>
  <c r="AO48" i="8"/>
  <c r="M64" i="1" s="1"/>
  <c r="AO49" i="8"/>
  <c r="M65" i="1" s="1"/>
  <c r="AO50" i="8"/>
  <c r="M66" i="1" s="1"/>
  <c r="AO51" i="8"/>
  <c r="M67" i="1" s="1"/>
  <c r="AO52" i="8"/>
  <c r="M68" i="1" s="1"/>
  <c r="AO53" i="8"/>
  <c r="M69" i="1"/>
  <c r="AO55" i="8"/>
  <c r="M71" i="1" s="1"/>
  <c r="AO16" i="8"/>
  <c r="M24" i="1"/>
  <c r="AO17" i="8"/>
  <c r="M25" i="1" s="1"/>
  <c r="AO18" i="8"/>
  <c r="M26" i="1" s="1"/>
  <c r="AO42" i="8"/>
  <c r="M58" i="1" s="1"/>
  <c r="AO43" i="8"/>
  <c r="M59" i="1" s="1"/>
  <c r="L10" i="1"/>
  <c r="AN20" i="8"/>
  <c r="L29" i="1"/>
  <c r="AN21" i="8"/>
  <c r="L30" i="1" s="1"/>
  <c r="AN22" i="8"/>
  <c r="L31" i="1"/>
  <c r="AN24" i="8"/>
  <c r="L34" i="1" s="1"/>
  <c r="AN25" i="8"/>
  <c r="L35" i="1"/>
  <c r="AN26" i="8"/>
  <c r="L36" i="1" s="1"/>
  <c r="AN28" i="8"/>
  <c r="L39" i="1"/>
  <c r="AN30" i="8"/>
  <c r="L42" i="1" s="1"/>
  <c r="AN31" i="8"/>
  <c r="L43" i="1"/>
  <c r="AN33" i="8"/>
  <c r="L46" i="1" s="1"/>
  <c r="AN34" i="8"/>
  <c r="L49" i="1"/>
  <c r="AN35" i="8"/>
  <c r="L50" i="1" s="1"/>
  <c r="AN37" i="8"/>
  <c r="L53" i="1"/>
  <c r="AN38" i="8"/>
  <c r="L54" i="1" s="1"/>
  <c r="AN39" i="8"/>
  <c r="L55" i="1"/>
  <c r="AN44" i="8"/>
  <c r="L60" i="1" s="1"/>
  <c r="AN45" i="8"/>
  <c r="L61" i="1"/>
  <c r="AN46" i="8"/>
  <c r="L62" i="1" s="1"/>
  <c r="AN47" i="8"/>
  <c r="L63" i="1"/>
  <c r="AN48" i="8"/>
  <c r="L64" i="1" s="1"/>
  <c r="AN49" i="8"/>
  <c r="L65" i="1"/>
  <c r="AN50" i="8"/>
  <c r="L66" i="1" s="1"/>
  <c r="AN51" i="8"/>
  <c r="L67" i="1"/>
  <c r="AN52" i="8"/>
  <c r="L68" i="1" s="1"/>
  <c r="AN53" i="8"/>
  <c r="L69" i="1"/>
  <c r="AN55" i="8"/>
  <c r="L71" i="1" s="1"/>
  <c r="AN16" i="8"/>
  <c r="L24" i="1"/>
  <c r="AN17" i="8"/>
  <c r="L25" i="1" s="1"/>
  <c r="AN18" i="8"/>
  <c r="L26" i="1"/>
  <c r="AN42" i="8"/>
  <c r="L58" i="1" s="1"/>
  <c r="AN43" i="8"/>
  <c r="L59" i="1"/>
  <c r="K10" i="1"/>
  <c r="AM20" i="8"/>
  <c r="K29" i="1" s="1"/>
  <c r="AM21" i="8"/>
  <c r="K30" i="1"/>
  <c r="AM22" i="8"/>
  <c r="K31" i="1" s="1"/>
  <c r="AM24" i="8"/>
  <c r="K34" i="1"/>
  <c r="AM25" i="8"/>
  <c r="K35" i="1" s="1"/>
  <c r="AM26" i="8"/>
  <c r="K36" i="1" s="1"/>
  <c r="AM28" i="8"/>
  <c r="K39" i="1" s="1"/>
  <c r="AM30" i="8"/>
  <c r="K42" i="1" s="1"/>
  <c r="AM31" i="8"/>
  <c r="K43" i="1" s="1"/>
  <c r="AM33" i="8"/>
  <c r="K46" i="1" s="1"/>
  <c r="AM34" i="8"/>
  <c r="K49" i="1" s="1"/>
  <c r="AM35" i="8"/>
  <c r="K50" i="1"/>
  <c r="AM37" i="8"/>
  <c r="K53" i="1" s="1"/>
  <c r="AM38" i="8"/>
  <c r="K54" i="1" s="1"/>
  <c r="AM39" i="8"/>
  <c r="K55" i="1" s="1"/>
  <c r="AM44" i="8"/>
  <c r="K60" i="1" s="1"/>
  <c r="AM45" i="8"/>
  <c r="K61" i="1" s="1"/>
  <c r="AM46" i="8"/>
  <c r="K62" i="1"/>
  <c r="AM47" i="8"/>
  <c r="K63" i="1" s="1"/>
  <c r="AM48" i="8"/>
  <c r="K64" i="1"/>
  <c r="AM49" i="8"/>
  <c r="K65" i="1" s="1"/>
  <c r="AM50" i="8"/>
  <c r="K66" i="1"/>
  <c r="AM51" i="8"/>
  <c r="K67" i="1" s="1"/>
  <c r="AM52" i="8"/>
  <c r="K68" i="1"/>
  <c r="AM53" i="8"/>
  <c r="K69" i="1" s="1"/>
  <c r="AM55" i="8"/>
  <c r="K71" i="1"/>
  <c r="AM16" i="8"/>
  <c r="K24" i="1" s="1"/>
  <c r="AM17" i="8"/>
  <c r="K25" i="1"/>
  <c r="AM18" i="8"/>
  <c r="K26" i="1" s="1"/>
  <c r="AM42" i="8"/>
  <c r="K58" i="1"/>
  <c r="AM43" i="8"/>
  <c r="K59" i="1" s="1"/>
  <c r="J10" i="1"/>
  <c r="AL20" i="8"/>
  <c r="J29" i="1" s="1"/>
  <c r="AL21" i="8"/>
  <c r="J30" i="1" s="1"/>
  <c r="AL22" i="8"/>
  <c r="J31" i="1"/>
  <c r="AL24" i="8"/>
  <c r="J34" i="1" s="1"/>
  <c r="AL25" i="8"/>
  <c r="J35" i="1"/>
  <c r="AL26" i="8"/>
  <c r="J36" i="1" s="1"/>
  <c r="AL28" i="8"/>
  <c r="J39" i="1" s="1"/>
  <c r="AL30" i="8"/>
  <c r="J42" i="1" s="1"/>
  <c r="AL31" i="8"/>
  <c r="J43" i="1" s="1"/>
  <c r="AL33" i="8"/>
  <c r="J46" i="1" s="1"/>
  <c r="AL34" i="8"/>
  <c r="J49" i="1"/>
  <c r="AL35" i="8"/>
  <c r="J50" i="1" s="1"/>
  <c r="AL37" i="8"/>
  <c r="J53" i="1"/>
  <c r="AL38" i="8"/>
  <c r="J54" i="1" s="1"/>
  <c r="AL39" i="8"/>
  <c r="J55" i="1" s="1"/>
  <c r="AL44" i="8"/>
  <c r="J60" i="1" s="1"/>
  <c r="AL45" i="8"/>
  <c r="J61" i="1" s="1"/>
  <c r="AL46" i="8"/>
  <c r="J62" i="1" s="1"/>
  <c r="AL47" i="8"/>
  <c r="J63" i="1"/>
  <c r="AL48" i="8"/>
  <c r="J64" i="1" s="1"/>
  <c r="AL49" i="8"/>
  <c r="J65" i="1"/>
  <c r="AL50" i="8"/>
  <c r="J66" i="1" s="1"/>
  <c r="AL51" i="8"/>
  <c r="J67" i="1" s="1"/>
  <c r="AL52" i="8"/>
  <c r="J68" i="1" s="1"/>
  <c r="AL53" i="8"/>
  <c r="J69" i="1" s="1"/>
  <c r="AL55" i="8"/>
  <c r="J71" i="1" s="1"/>
  <c r="AL16" i="8"/>
  <c r="J24" i="1"/>
  <c r="AL17" i="8"/>
  <c r="J25" i="1" s="1"/>
  <c r="AL18" i="8"/>
  <c r="J26" i="1"/>
  <c r="AL42" i="8"/>
  <c r="J58" i="1" s="1"/>
  <c r="AL43" i="8"/>
  <c r="J59" i="1" s="1"/>
  <c r="I10" i="1"/>
  <c r="K11" i="8"/>
  <c r="AK11" i="8"/>
  <c r="I18" i="1" s="1"/>
  <c r="AK20" i="8"/>
  <c r="I29" i="1" s="1"/>
  <c r="AK21" i="8"/>
  <c r="I30" i="1" s="1"/>
  <c r="AK22" i="8"/>
  <c r="I31" i="1" s="1"/>
  <c r="AK24" i="8"/>
  <c r="I34" i="1"/>
  <c r="AK25" i="8"/>
  <c r="I35" i="1" s="1"/>
  <c r="AK26" i="8"/>
  <c r="I36" i="1"/>
  <c r="AK28" i="8"/>
  <c r="I39" i="1" s="1"/>
  <c r="AK30" i="8"/>
  <c r="I42" i="1" s="1"/>
  <c r="AK31" i="8"/>
  <c r="I43" i="1" s="1"/>
  <c r="AK33" i="8"/>
  <c r="I46" i="1" s="1"/>
  <c r="AK34" i="8"/>
  <c r="I49" i="1" s="1"/>
  <c r="AK35" i="8"/>
  <c r="I50" i="1"/>
  <c r="AK37" i="8"/>
  <c r="I53" i="1" s="1"/>
  <c r="AK38" i="8"/>
  <c r="I54" i="1"/>
  <c r="AK39" i="8"/>
  <c r="I55" i="1" s="1"/>
  <c r="AK44" i="8"/>
  <c r="I60" i="1" s="1"/>
  <c r="AK45" i="8"/>
  <c r="I61" i="1" s="1"/>
  <c r="AK46" i="8"/>
  <c r="I62" i="1" s="1"/>
  <c r="AK47" i="8"/>
  <c r="I63" i="1" s="1"/>
  <c r="AK48" i="8"/>
  <c r="I64" i="1"/>
  <c r="AK49" i="8"/>
  <c r="I65" i="1" s="1"/>
  <c r="AK50" i="8"/>
  <c r="I66" i="1"/>
  <c r="AK51" i="8"/>
  <c r="I67" i="1" s="1"/>
  <c r="AK52" i="8"/>
  <c r="I68" i="1" s="1"/>
  <c r="AK53" i="8"/>
  <c r="I69" i="1" s="1"/>
  <c r="AK55" i="8"/>
  <c r="I71" i="1" s="1"/>
  <c r="AK16" i="8"/>
  <c r="I24" i="1" s="1"/>
  <c r="AK17" i="8"/>
  <c r="I25" i="1"/>
  <c r="AK18" i="8"/>
  <c r="I26" i="1" s="1"/>
  <c r="AK42" i="8"/>
  <c r="I58" i="1"/>
  <c r="AK43" i="8"/>
  <c r="I59" i="1" s="1"/>
  <c r="H10" i="1"/>
  <c r="AJ20" i="8"/>
  <c r="H29" i="1" s="1"/>
  <c r="AJ21" i="8"/>
  <c r="H30" i="1"/>
  <c r="AJ22" i="8"/>
  <c r="H31" i="1" s="1"/>
  <c r="AJ24" i="8"/>
  <c r="H34" i="1"/>
  <c r="AJ25" i="8"/>
  <c r="H35" i="1" s="1"/>
  <c r="AJ26" i="8"/>
  <c r="H36" i="1"/>
  <c r="AJ28" i="8"/>
  <c r="H39" i="1" s="1"/>
  <c r="AJ30" i="8"/>
  <c r="H42" i="1"/>
  <c r="AJ31" i="8"/>
  <c r="H43" i="1" s="1"/>
  <c r="AJ33" i="8"/>
  <c r="H46" i="1"/>
  <c r="AJ34" i="8"/>
  <c r="H49" i="1" s="1"/>
  <c r="AJ35" i="8"/>
  <c r="H50" i="1"/>
  <c r="AJ37" i="8"/>
  <c r="H53" i="1" s="1"/>
  <c r="AJ38" i="8"/>
  <c r="H54" i="1"/>
  <c r="AJ39" i="8"/>
  <c r="H55" i="1" s="1"/>
  <c r="AJ44" i="8"/>
  <c r="H60" i="1"/>
  <c r="AJ45" i="8"/>
  <c r="H61" i="1" s="1"/>
  <c r="AJ46" i="8"/>
  <c r="H62" i="1"/>
  <c r="AJ47" i="8"/>
  <c r="H63" i="1" s="1"/>
  <c r="AJ48" i="8"/>
  <c r="H64" i="1"/>
  <c r="AJ49" i="8"/>
  <c r="H65" i="1" s="1"/>
  <c r="AJ50" i="8"/>
  <c r="H66" i="1"/>
  <c r="AJ51" i="8"/>
  <c r="H67" i="1" s="1"/>
  <c r="AJ52" i="8"/>
  <c r="H68" i="1"/>
  <c r="AJ53" i="8"/>
  <c r="H69" i="1" s="1"/>
  <c r="AJ55" i="8"/>
  <c r="H71" i="1"/>
  <c r="AJ16" i="8"/>
  <c r="H24" i="1" s="1"/>
  <c r="AJ17" i="8"/>
  <c r="H25" i="1"/>
  <c r="AJ18" i="8"/>
  <c r="H26" i="1" s="1"/>
  <c r="AJ42" i="8"/>
  <c r="H58" i="1"/>
  <c r="AJ43" i="8"/>
  <c r="H59" i="1" s="1"/>
  <c r="G10" i="1"/>
  <c r="I10" i="8"/>
  <c r="AI10" i="8" s="1"/>
  <c r="G17" i="1" s="1"/>
  <c r="AI20" i="8"/>
  <c r="G29" i="1"/>
  <c r="AI21" i="8"/>
  <c r="G30" i="1" s="1"/>
  <c r="AI22" i="8"/>
  <c r="G31" i="1"/>
  <c r="AI24" i="8"/>
  <c r="G34" i="1" s="1"/>
  <c r="AI25" i="8"/>
  <c r="G35" i="1"/>
  <c r="AI26" i="8"/>
  <c r="G36" i="1" s="1"/>
  <c r="AI28" i="8"/>
  <c r="G39" i="1"/>
  <c r="AI30" i="8"/>
  <c r="G42" i="1" s="1"/>
  <c r="AI31" i="8"/>
  <c r="G43" i="1"/>
  <c r="AI33" i="8"/>
  <c r="G46" i="1" s="1"/>
  <c r="AI34" i="8"/>
  <c r="G49" i="1"/>
  <c r="AI35" i="8"/>
  <c r="G50" i="1" s="1"/>
  <c r="AI37" i="8"/>
  <c r="G53" i="1"/>
  <c r="AI38" i="8"/>
  <c r="G54" i="1" s="1"/>
  <c r="AI39" i="8"/>
  <c r="G55" i="1"/>
  <c r="AI44" i="8"/>
  <c r="G60" i="1" s="1"/>
  <c r="AI45" i="8"/>
  <c r="G61" i="1"/>
  <c r="AI46" i="8"/>
  <c r="G62" i="1" s="1"/>
  <c r="AI47" i="8"/>
  <c r="G63" i="1"/>
  <c r="AI48" i="8"/>
  <c r="G64" i="1" s="1"/>
  <c r="AI49" i="8"/>
  <c r="G65" i="1"/>
  <c r="AI50" i="8"/>
  <c r="G66" i="1" s="1"/>
  <c r="AI51" i="8"/>
  <c r="G67" i="1"/>
  <c r="AI52" i="8"/>
  <c r="G68" i="1" s="1"/>
  <c r="AI53" i="8"/>
  <c r="G69" i="1"/>
  <c r="AI55" i="8"/>
  <c r="G71" i="1" s="1"/>
  <c r="AI16" i="8"/>
  <c r="G24" i="1"/>
  <c r="AI17" i="8"/>
  <c r="G25" i="1" s="1"/>
  <c r="AI18" i="8"/>
  <c r="G26" i="1" s="1"/>
  <c r="AI42" i="8"/>
  <c r="G58" i="1" s="1"/>
  <c r="AI43" i="8"/>
  <c r="G59" i="1" s="1"/>
  <c r="AI31" i="2"/>
  <c r="E16" i="5" s="1"/>
  <c r="AA42" i="5"/>
  <c r="AA41" i="5"/>
  <c r="G47" i="5" s="1"/>
  <c r="N12" i="9" s="1"/>
  <c r="AH17" i="2"/>
  <c r="AI17" i="2" s="1"/>
  <c r="B21" i="2" s="1"/>
  <c r="AH21" i="2"/>
  <c r="AR26" i="8"/>
  <c r="AW26" i="8"/>
  <c r="AV26" i="8"/>
  <c r="AU26" i="8"/>
  <c r="AT26" i="8"/>
  <c r="AS26" i="8"/>
  <c r="AH10" i="8"/>
  <c r="AH11" i="8"/>
  <c r="AH12" i="8"/>
  <c r="AH13" i="8"/>
  <c r="AH16" i="8"/>
  <c r="AH17" i="8"/>
  <c r="AH18" i="8"/>
  <c r="AH20" i="8"/>
  <c r="AH21" i="8"/>
  <c r="AH22" i="8"/>
  <c r="AH24" i="8"/>
  <c r="AH25" i="8"/>
  <c r="AH26" i="8"/>
  <c r="AH28" i="8"/>
  <c r="AH30" i="8"/>
  <c r="AH31" i="8"/>
  <c r="AH33" i="8"/>
  <c r="AH34" i="8"/>
  <c r="AH35" i="8"/>
  <c r="AH37" i="8"/>
  <c r="AH38" i="8"/>
  <c r="AH39" i="8"/>
  <c r="AH42" i="8"/>
  <c r="AH43" i="8"/>
  <c r="AH44" i="8"/>
  <c r="AH45" i="8"/>
  <c r="AH46" i="8"/>
  <c r="AH47" i="8"/>
  <c r="AH48" i="8"/>
  <c r="AH49" i="8"/>
  <c r="AH50" i="8"/>
  <c r="AH51" i="8"/>
  <c r="AH52" i="8"/>
  <c r="AH53" i="8"/>
  <c r="AH55" i="8"/>
  <c r="F10" i="1"/>
  <c r="F12" i="1"/>
  <c r="F13" i="1" s="1"/>
  <c r="AO85" i="1"/>
  <c r="H73" i="1" s="1"/>
  <c r="B46" i="1"/>
  <c r="B36" i="1"/>
  <c r="B29" i="1"/>
  <c r="B17" i="1"/>
  <c r="J44" i="5"/>
  <c r="B34" i="1"/>
  <c r="B53" i="1"/>
  <c r="B48" i="5"/>
  <c r="B54" i="1"/>
  <c r="B55" i="1"/>
  <c r="B50" i="5"/>
  <c r="B71" i="1"/>
  <c r="B24" i="1"/>
  <c r="B25" i="1"/>
  <c r="B26" i="1"/>
  <c r="B42" i="1"/>
  <c r="B43" i="1"/>
  <c r="B58" i="5"/>
  <c r="B35" i="1"/>
  <c r="B39" i="1"/>
  <c r="B49" i="1"/>
  <c r="B50" i="1"/>
  <c r="B58" i="1"/>
  <c r="B59" i="1"/>
  <c r="B60" i="1"/>
  <c r="B61" i="1"/>
  <c r="B62" i="1"/>
  <c r="B63" i="1"/>
  <c r="B64" i="1"/>
  <c r="B65" i="1"/>
  <c r="B66" i="1"/>
  <c r="B67" i="1"/>
  <c r="B68" i="1"/>
  <c r="B69" i="1"/>
  <c r="B18" i="1"/>
  <c r="B19" i="1"/>
  <c r="B20" i="1"/>
  <c r="B30" i="1"/>
  <c r="B31" i="1"/>
  <c r="C17" i="10"/>
  <c r="Q17" i="10"/>
  <c r="P17" i="10"/>
  <c r="O17" i="10"/>
  <c r="N17" i="10"/>
  <c r="M17" i="10"/>
  <c r="L17" i="10"/>
  <c r="K17" i="10"/>
  <c r="J17" i="10"/>
  <c r="I17" i="10"/>
  <c r="H17" i="10"/>
  <c r="G17" i="10"/>
  <c r="F17" i="10"/>
  <c r="E17" i="10"/>
  <c r="D17" i="10"/>
  <c r="B17" i="10"/>
  <c r="X19" i="3"/>
  <c r="S19" i="3"/>
  <c r="X25" i="3"/>
  <c r="S25" i="3" s="1"/>
  <c r="X24" i="3"/>
  <c r="S24" i="3"/>
  <c r="X21" i="3"/>
  <c r="S21" i="3" s="1"/>
  <c r="X22" i="3"/>
  <c r="S22" i="3"/>
  <c r="X26" i="3"/>
  <c r="S26" i="3" s="1"/>
  <c r="X27" i="3"/>
  <c r="S27" i="3"/>
  <c r="X28" i="3"/>
  <c r="S28" i="3" s="1"/>
  <c r="X29" i="3"/>
  <c r="S29" i="3" s="1"/>
  <c r="X30" i="3"/>
  <c r="S30" i="3" s="1"/>
  <c r="X31" i="3"/>
  <c r="S31" i="3" s="1"/>
  <c r="X32" i="3"/>
  <c r="S32" i="3" s="1"/>
  <c r="X33" i="3"/>
  <c r="S33" i="3" s="1"/>
  <c r="X34" i="3"/>
  <c r="S34" i="3"/>
  <c r="X35" i="3"/>
  <c r="S35" i="3" s="1"/>
  <c r="X36" i="3"/>
  <c r="S36" i="3" s="1"/>
  <c r="X37" i="3"/>
  <c r="S37" i="3" s="1"/>
  <c r="X38" i="3"/>
  <c r="S38" i="3" s="1"/>
  <c r="X39" i="3"/>
  <c r="S39" i="3" s="1"/>
  <c r="X40" i="3"/>
  <c r="S40" i="3" s="1"/>
  <c r="X41" i="3"/>
  <c r="S41" i="3"/>
  <c r="X42" i="3"/>
  <c r="S42" i="3" s="1"/>
  <c r="X43" i="3"/>
  <c r="S43" i="3"/>
  <c r="X44" i="3"/>
  <c r="S44" i="3" s="1"/>
  <c r="X45" i="3"/>
  <c r="S45" i="3" s="1"/>
  <c r="X46" i="3"/>
  <c r="S46" i="3" s="1"/>
  <c r="X47" i="3"/>
  <c r="S47" i="3" s="1"/>
  <c r="X48" i="3"/>
  <c r="S48" i="3" s="1"/>
  <c r="X49" i="3"/>
  <c r="S49" i="3" s="1"/>
  <c r="X50" i="3"/>
  <c r="S50" i="3"/>
  <c r="X51" i="3"/>
  <c r="S51" i="3" s="1"/>
  <c r="X52" i="3"/>
  <c r="S52" i="3" s="1"/>
  <c r="X53" i="3"/>
  <c r="S53" i="3" s="1"/>
  <c r="X54" i="3"/>
  <c r="S54" i="3" s="1"/>
  <c r="X55" i="3"/>
  <c r="S55" i="3" s="1"/>
  <c r="X56" i="3"/>
  <c r="S56" i="3" s="1"/>
  <c r="X57" i="3"/>
  <c r="S57" i="3"/>
  <c r="X58" i="3"/>
  <c r="S58" i="3" s="1"/>
  <c r="X23" i="3"/>
  <c r="S23" i="3"/>
  <c r="X11" i="3"/>
  <c r="S11" i="3" s="1"/>
  <c r="X14" i="3"/>
  <c r="S14" i="3"/>
  <c r="X15" i="3"/>
  <c r="S15" i="3" s="1"/>
  <c r="X9" i="3"/>
  <c r="S9" i="3"/>
  <c r="X18" i="3"/>
  <c r="S18" i="3" s="1"/>
  <c r="X17" i="3"/>
  <c r="S17" i="3"/>
  <c r="X13" i="3"/>
  <c r="S13" i="3" s="1"/>
  <c r="X16" i="3"/>
  <c r="S16" i="3" s="1"/>
  <c r="X20" i="3"/>
  <c r="S20" i="3" s="1"/>
  <c r="X10" i="3"/>
  <c r="S10" i="3" s="1"/>
  <c r="X12" i="3"/>
  <c r="S12" i="3" s="1"/>
  <c r="C10" i="3"/>
  <c r="BB10" i="3" s="1"/>
  <c r="C23" i="3"/>
  <c r="BB23" i="3" s="1"/>
  <c r="C11" i="3"/>
  <c r="C14" i="3"/>
  <c r="BB14" i="3" s="1"/>
  <c r="C15" i="3"/>
  <c r="C9" i="3"/>
  <c r="BB9" i="3" s="1"/>
  <c r="C18" i="3"/>
  <c r="BB18" i="3" s="1"/>
  <c r="C17" i="3"/>
  <c r="C13" i="3"/>
  <c r="BB13" i="3" s="1"/>
  <c r="C16" i="3"/>
  <c r="C20" i="3"/>
  <c r="BB20" i="3" s="1"/>
  <c r="C19" i="3"/>
  <c r="BB19" i="3" s="1"/>
  <c r="C25" i="3"/>
  <c r="BB25" i="3" s="1"/>
  <c r="C26" i="3"/>
  <c r="BB26" i="3" s="1"/>
  <c r="C24" i="3"/>
  <c r="BB24" i="3"/>
  <c r="C21" i="3"/>
  <c r="C22" i="3"/>
  <c r="BB22" i="3" s="1"/>
  <c r="C58" i="3"/>
  <c r="BB58" i="3" s="1"/>
  <c r="C27" i="3"/>
  <c r="C28" i="3"/>
  <c r="C29" i="3"/>
  <c r="C30" i="3"/>
  <c r="BB30" i="3" s="1"/>
  <c r="C31" i="3"/>
  <c r="C32" i="3"/>
  <c r="C33" i="3"/>
  <c r="C34" i="3"/>
  <c r="BB34" i="3" s="1"/>
  <c r="C35" i="3"/>
  <c r="C36" i="3"/>
  <c r="C37" i="3"/>
  <c r="C38" i="3"/>
  <c r="BB38" i="3" s="1"/>
  <c r="C39" i="3"/>
  <c r="C40" i="3"/>
  <c r="C41" i="3"/>
  <c r="C42" i="3"/>
  <c r="BB42" i="3" s="1"/>
  <c r="C43" i="3"/>
  <c r="C44" i="3"/>
  <c r="C45" i="3"/>
  <c r="C46" i="3"/>
  <c r="BB46" i="3" s="1"/>
  <c r="C47" i="3"/>
  <c r="C48" i="3"/>
  <c r="C49" i="3"/>
  <c r="C50" i="3"/>
  <c r="BB50" i="3" s="1"/>
  <c r="C51" i="3"/>
  <c r="C52" i="3"/>
  <c r="C53" i="3"/>
  <c r="C54" i="3"/>
  <c r="BB54" i="3" s="1"/>
  <c r="C55" i="3"/>
  <c r="C56" i="3"/>
  <c r="C57" i="3"/>
  <c r="C12" i="3"/>
  <c r="BB12" i="3" s="1"/>
  <c r="Z12" i="3"/>
  <c r="Z10" i="3"/>
  <c r="BC10" i="3"/>
  <c r="BD10" i="3"/>
  <c r="BE10" i="3"/>
  <c r="BF10" i="3"/>
  <c r="BG10" i="3"/>
  <c r="BH10" i="3"/>
  <c r="BI10" i="3"/>
  <c r="BJ10" i="3"/>
  <c r="BK10" i="3"/>
  <c r="BL10" i="3"/>
  <c r="BM10" i="3"/>
  <c r="BN10" i="3"/>
  <c r="BO10" i="3"/>
  <c r="BP10" i="3"/>
  <c r="BQ10" i="3"/>
  <c r="Z23" i="3"/>
  <c r="BB11" i="3"/>
  <c r="BC11" i="3"/>
  <c r="BD11" i="3"/>
  <c r="BE11" i="3"/>
  <c r="BF11" i="3"/>
  <c r="BG11" i="3"/>
  <c r="BH11" i="3"/>
  <c r="BI11" i="3"/>
  <c r="BJ11" i="3"/>
  <c r="BK11" i="3"/>
  <c r="BL11" i="3"/>
  <c r="BM11" i="3"/>
  <c r="BN11" i="3"/>
  <c r="BO11" i="3"/>
  <c r="BP11" i="3"/>
  <c r="BQ11" i="3"/>
  <c r="Z11" i="3"/>
  <c r="BC12" i="3"/>
  <c r="BD12" i="3"/>
  <c r="BE12" i="3"/>
  <c r="BF12" i="3"/>
  <c r="BG12" i="3"/>
  <c r="BH12" i="3"/>
  <c r="BI12" i="3"/>
  <c r="BJ12" i="3"/>
  <c r="BK12" i="3"/>
  <c r="BL12" i="3"/>
  <c r="BM12" i="3"/>
  <c r="BN12" i="3"/>
  <c r="BO12" i="3"/>
  <c r="BP12" i="3"/>
  <c r="BQ12" i="3"/>
  <c r="Z14" i="3"/>
  <c r="BC13" i="3"/>
  <c r="BD13" i="3"/>
  <c r="BE13" i="3"/>
  <c r="BF13" i="3"/>
  <c r="BG13" i="3"/>
  <c r="BH13" i="3"/>
  <c r="BI13" i="3"/>
  <c r="BJ13" i="3"/>
  <c r="BK13" i="3"/>
  <c r="BL13" i="3"/>
  <c r="BM13" i="3"/>
  <c r="BN13" i="3"/>
  <c r="BO13" i="3"/>
  <c r="BP13" i="3"/>
  <c r="BQ13" i="3"/>
  <c r="Z15" i="3"/>
  <c r="BC14" i="3"/>
  <c r="BD14" i="3"/>
  <c r="BE14" i="3"/>
  <c r="BF14" i="3"/>
  <c r="BG14" i="3"/>
  <c r="BH14" i="3"/>
  <c r="BI14" i="3"/>
  <c r="BJ14" i="3"/>
  <c r="BK14" i="3"/>
  <c r="BL14" i="3"/>
  <c r="BM14" i="3"/>
  <c r="BN14" i="3"/>
  <c r="BO14" i="3"/>
  <c r="BP14" i="3"/>
  <c r="BQ14" i="3"/>
  <c r="Z9" i="3"/>
  <c r="BB15" i="3"/>
  <c r="BC15" i="3"/>
  <c r="BD15" i="3"/>
  <c r="BE15" i="3"/>
  <c r="BF15" i="3"/>
  <c r="BG15" i="3"/>
  <c r="BH15" i="3"/>
  <c r="BI15" i="3"/>
  <c r="BJ15" i="3"/>
  <c r="BK15" i="3"/>
  <c r="BL15" i="3"/>
  <c r="BM15" i="3"/>
  <c r="BN15" i="3"/>
  <c r="BO15" i="3"/>
  <c r="BP15" i="3"/>
  <c r="BQ15" i="3"/>
  <c r="Z18" i="3"/>
  <c r="BB16" i="3"/>
  <c r="BC16" i="3"/>
  <c r="BD16" i="3"/>
  <c r="BE16" i="3"/>
  <c r="BF16" i="3"/>
  <c r="BG16" i="3"/>
  <c r="BH16" i="3"/>
  <c r="BI16" i="3"/>
  <c r="BJ16" i="3"/>
  <c r="BK16" i="3"/>
  <c r="BL16" i="3"/>
  <c r="BM16" i="3"/>
  <c r="BN16" i="3"/>
  <c r="BO16" i="3"/>
  <c r="BP16" i="3"/>
  <c r="BQ16" i="3"/>
  <c r="Z17" i="3"/>
  <c r="BB17" i="3"/>
  <c r="BC17" i="3"/>
  <c r="BD17" i="3"/>
  <c r="BE17" i="3"/>
  <c r="BF17" i="3"/>
  <c r="BG17" i="3"/>
  <c r="BH17" i="3"/>
  <c r="BI17" i="3"/>
  <c r="BJ17" i="3"/>
  <c r="BK17" i="3"/>
  <c r="BL17" i="3"/>
  <c r="BM17" i="3"/>
  <c r="BN17" i="3"/>
  <c r="BO17" i="3"/>
  <c r="BP17" i="3"/>
  <c r="BQ17" i="3"/>
  <c r="Z13" i="3"/>
  <c r="BC18" i="3"/>
  <c r="BD18" i="3"/>
  <c r="BE18" i="3"/>
  <c r="BF18" i="3"/>
  <c r="BG18" i="3"/>
  <c r="BH18" i="3"/>
  <c r="BI18" i="3"/>
  <c r="BJ18" i="3"/>
  <c r="BK18" i="3"/>
  <c r="BL18" i="3"/>
  <c r="BM18" i="3"/>
  <c r="BN18" i="3"/>
  <c r="BO18" i="3"/>
  <c r="BP18" i="3"/>
  <c r="BQ18" i="3"/>
  <c r="Z16" i="3"/>
  <c r="BC19" i="3"/>
  <c r="BD19" i="3"/>
  <c r="BE19" i="3"/>
  <c r="BF19" i="3"/>
  <c r="BG19" i="3"/>
  <c r="BH19" i="3"/>
  <c r="BI19" i="3"/>
  <c r="BJ19" i="3"/>
  <c r="BK19" i="3"/>
  <c r="BL19" i="3"/>
  <c r="BM19" i="3"/>
  <c r="BN19" i="3"/>
  <c r="BO19" i="3"/>
  <c r="BP19" i="3"/>
  <c r="BQ19" i="3"/>
  <c r="Z20" i="3"/>
  <c r="BC20" i="3"/>
  <c r="BD20" i="3"/>
  <c r="BE20" i="3"/>
  <c r="BF20" i="3"/>
  <c r="BG20" i="3"/>
  <c r="BH20" i="3"/>
  <c r="BI20" i="3"/>
  <c r="BJ20" i="3"/>
  <c r="BK20" i="3"/>
  <c r="BL20" i="3"/>
  <c r="BM20" i="3"/>
  <c r="BN20" i="3"/>
  <c r="BO20" i="3"/>
  <c r="BP20" i="3"/>
  <c r="BQ20" i="3"/>
  <c r="Z19" i="3"/>
  <c r="BB21" i="3"/>
  <c r="BC21" i="3"/>
  <c r="BD21" i="3"/>
  <c r="BE21" i="3"/>
  <c r="BF21" i="3"/>
  <c r="BG21" i="3"/>
  <c r="BH21" i="3"/>
  <c r="BI21" i="3"/>
  <c r="BJ21" i="3"/>
  <c r="BK21" i="3"/>
  <c r="BL21" i="3"/>
  <c r="BM21" i="3"/>
  <c r="BN21" i="3"/>
  <c r="BO21" i="3"/>
  <c r="BP21" i="3"/>
  <c r="BQ21" i="3"/>
  <c r="Z25" i="3"/>
  <c r="BC22" i="3"/>
  <c r="BD22" i="3"/>
  <c r="BE22" i="3"/>
  <c r="BF22" i="3"/>
  <c r="BG22" i="3"/>
  <c r="BH22" i="3"/>
  <c r="BI22" i="3"/>
  <c r="BJ22" i="3"/>
  <c r="BK22" i="3"/>
  <c r="BL22" i="3"/>
  <c r="BM22" i="3"/>
  <c r="BN22" i="3"/>
  <c r="BO22" i="3"/>
  <c r="BP22" i="3"/>
  <c r="BQ22" i="3"/>
  <c r="Z26" i="3"/>
  <c r="BC23" i="3"/>
  <c r="BD23" i="3"/>
  <c r="BE23" i="3"/>
  <c r="BF23" i="3"/>
  <c r="BG23" i="3"/>
  <c r="BH23" i="3"/>
  <c r="BI23" i="3"/>
  <c r="BJ23" i="3"/>
  <c r="BK23" i="3"/>
  <c r="BL23" i="3"/>
  <c r="BM23" i="3"/>
  <c r="BN23" i="3"/>
  <c r="BO23" i="3"/>
  <c r="BP23" i="3"/>
  <c r="BQ23" i="3"/>
  <c r="Z24" i="3"/>
  <c r="BC24" i="3"/>
  <c r="BD24" i="3"/>
  <c r="BE24" i="3"/>
  <c r="E36" i="2" s="1"/>
  <c r="BF24" i="3"/>
  <c r="BG24" i="3"/>
  <c r="BH24" i="3"/>
  <c r="BI24" i="3"/>
  <c r="I36" i="2" s="1"/>
  <c r="BJ24" i="3"/>
  <c r="BK24" i="3"/>
  <c r="BL24" i="3"/>
  <c r="BM24" i="3"/>
  <c r="BN24" i="3"/>
  <c r="BO24" i="3"/>
  <c r="BP24" i="3"/>
  <c r="BQ24" i="3"/>
  <c r="Q36" i="2" s="1"/>
  <c r="Z21" i="3"/>
  <c r="BC25" i="3"/>
  <c r="BD25" i="3"/>
  <c r="BE25" i="3"/>
  <c r="BF25" i="3"/>
  <c r="BG25" i="3"/>
  <c r="BH25" i="3"/>
  <c r="BI25" i="3"/>
  <c r="BJ25" i="3"/>
  <c r="BK25" i="3"/>
  <c r="BL25" i="3"/>
  <c r="BM25" i="3"/>
  <c r="BN25" i="3"/>
  <c r="BO25" i="3"/>
  <c r="BP25" i="3"/>
  <c r="BQ25" i="3"/>
  <c r="Z22" i="3"/>
  <c r="BC26" i="3"/>
  <c r="BD26" i="3"/>
  <c r="BE26" i="3"/>
  <c r="BF26" i="3"/>
  <c r="BG26" i="3"/>
  <c r="BH26" i="3"/>
  <c r="BI26" i="3"/>
  <c r="BJ26" i="3"/>
  <c r="BK26" i="3"/>
  <c r="BL26" i="3"/>
  <c r="BM26" i="3"/>
  <c r="BN26" i="3"/>
  <c r="BO26" i="3"/>
  <c r="BP26" i="3"/>
  <c r="BQ26" i="3"/>
  <c r="Z58" i="3"/>
  <c r="BB27" i="3"/>
  <c r="BC27" i="3"/>
  <c r="BD27" i="3"/>
  <c r="BE27" i="3"/>
  <c r="BF27" i="3"/>
  <c r="BG27" i="3"/>
  <c r="BH27" i="3"/>
  <c r="BI27" i="3"/>
  <c r="BJ27" i="3"/>
  <c r="BK27" i="3"/>
  <c r="BL27" i="3"/>
  <c r="BM27" i="3"/>
  <c r="BN27" i="3"/>
  <c r="BO27" i="3"/>
  <c r="BP27" i="3"/>
  <c r="BQ27" i="3"/>
  <c r="Z27" i="3"/>
  <c r="BB28" i="3"/>
  <c r="BC28" i="3"/>
  <c r="BD28" i="3"/>
  <c r="BE28" i="3"/>
  <c r="BF28" i="3"/>
  <c r="BG28" i="3"/>
  <c r="BH28" i="3"/>
  <c r="BI28" i="3"/>
  <c r="BJ28" i="3"/>
  <c r="BK28" i="3"/>
  <c r="BL28" i="3"/>
  <c r="BM28" i="3"/>
  <c r="BN28" i="3"/>
  <c r="BO28" i="3"/>
  <c r="BP28" i="3"/>
  <c r="BQ28" i="3"/>
  <c r="Z28" i="3"/>
  <c r="BB29" i="3"/>
  <c r="BC29" i="3"/>
  <c r="BD29" i="3"/>
  <c r="BE29" i="3"/>
  <c r="BF29" i="3"/>
  <c r="BG29" i="3"/>
  <c r="BH29" i="3"/>
  <c r="BI29" i="3"/>
  <c r="BJ29" i="3"/>
  <c r="BK29" i="3"/>
  <c r="BL29" i="3"/>
  <c r="BM29" i="3"/>
  <c r="BN29" i="3"/>
  <c r="BO29" i="3"/>
  <c r="BP29" i="3"/>
  <c r="BQ29" i="3"/>
  <c r="Z29" i="3"/>
  <c r="BC30" i="3"/>
  <c r="BD30" i="3"/>
  <c r="BE30" i="3"/>
  <c r="BF30" i="3"/>
  <c r="BG30" i="3"/>
  <c r="BH30" i="3"/>
  <c r="BI30" i="3"/>
  <c r="BJ30" i="3"/>
  <c r="BK30" i="3"/>
  <c r="BL30" i="3"/>
  <c r="BM30" i="3"/>
  <c r="BN30" i="3"/>
  <c r="BO30" i="3"/>
  <c r="BP30" i="3"/>
  <c r="BQ30" i="3"/>
  <c r="Z30" i="3"/>
  <c r="BB31" i="3"/>
  <c r="BC31" i="3"/>
  <c r="BD31" i="3"/>
  <c r="BE31" i="3"/>
  <c r="BF31" i="3"/>
  <c r="BG31" i="3"/>
  <c r="BH31" i="3"/>
  <c r="BI31" i="3"/>
  <c r="BJ31" i="3"/>
  <c r="BK31" i="3"/>
  <c r="BL31" i="3"/>
  <c r="BM31" i="3"/>
  <c r="BN31" i="3"/>
  <c r="BO31" i="3"/>
  <c r="BP31" i="3"/>
  <c r="BQ31" i="3"/>
  <c r="Z31" i="3"/>
  <c r="BB32" i="3"/>
  <c r="BC32" i="3"/>
  <c r="BD32" i="3"/>
  <c r="BE32" i="3"/>
  <c r="BF32" i="3"/>
  <c r="BG32" i="3"/>
  <c r="BH32" i="3"/>
  <c r="BI32" i="3"/>
  <c r="BJ32" i="3"/>
  <c r="BK32" i="3"/>
  <c r="BL32" i="3"/>
  <c r="BM32" i="3"/>
  <c r="BN32" i="3"/>
  <c r="BO32" i="3"/>
  <c r="BP32" i="3"/>
  <c r="BQ32" i="3"/>
  <c r="Z32" i="3"/>
  <c r="BB33" i="3"/>
  <c r="BC33" i="3"/>
  <c r="BD33" i="3"/>
  <c r="BE33" i="3"/>
  <c r="BF33" i="3"/>
  <c r="BG33" i="3"/>
  <c r="BH33" i="3"/>
  <c r="BI33" i="3"/>
  <c r="BJ33" i="3"/>
  <c r="BK33" i="3"/>
  <c r="BL33" i="3"/>
  <c r="BM33" i="3"/>
  <c r="BN33" i="3"/>
  <c r="BO33" i="3"/>
  <c r="BP33" i="3"/>
  <c r="BQ33" i="3"/>
  <c r="Z33" i="3"/>
  <c r="BC34" i="3"/>
  <c r="BD34" i="3"/>
  <c r="BE34" i="3"/>
  <c r="BF34" i="3"/>
  <c r="BG34" i="3"/>
  <c r="BH34" i="3"/>
  <c r="BI34" i="3"/>
  <c r="BJ34" i="3"/>
  <c r="BK34" i="3"/>
  <c r="BL34" i="3"/>
  <c r="BM34" i="3"/>
  <c r="BN34" i="3"/>
  <c r="BO34" i="3"/>
  <c r="BP34" i="3"/>
  <c r="BQ34" i="3"/>
  <c r="Z34" i="3"/>
  <c r="BB35" i="3"/>
  <c r="BC35" i="3"/>
  <c r="BD35" i="3"/>
  <c r="BE35" i="3"/>
  <c r="BF35" i="3"/>
  <c r="BG35" i="3"/>
  <c r="BH35" i="3"/>
  <c r="BI35" i="3"/>
  <c r="BJ35" i="3"/>
  <c r="BK35" i="3"/>
  <c r="BL35" i="3"/>
  <c r="BM35" i="3"/>
  <c r="BN35" i="3"/>
  <c r="BO35" i="3"/>
  <c r="BP35" i="3"/>
  <c r="BQ35" i="3"/>
  <c r="Z35" i="3"/>
  <c r="BB36" i="3"/>
  <c r="BC36" i="3"/>
  <c r="BD36" i="3"/>
  <c r="BE36" i="3"/>
  <c r="BF36" i="3"/>
  <c r="BG36" i="3"/>
  <c r="BH36" i="3"/>
  <c r="BI36" i="3"/>
  <c r="BJ36" i="3"/>
  <c r="BK36" i="3"/>
  <c r="BL36" i="3"/>
  <c r="BM36" i="3"/>
  <c r="BN36" i="3"/>
  <c r="BO36" i="3"/>
  <c r="BP36" i="3"/>
  <c r="BQ36" i="3"/>
  <c r="Z36" i="3"/>
  <c r="BB37" i="3"/>
  <c r="BC37" i="3"/>
  <c r="BD37" i="3"/>
  <c r="BE37" i="3"/>
  <c r="BF37" i="3"/>
  <c r="BG37" i="3"/>
  <c r="BH37" i="3"/>
  <c r="BI37" i="3"/>
  <c r="BJ37" i="3"/>
  <c r="BK37" i="3"/>
  <c r="BL37" i="3"/>
  <c r="BM37" i="3"/>
  <c r="BN37" i="3"/>
  <c r="BO37" i="3"/>
  <c r="BP37" i="3"/>
  <c r="BQ37" i="3"/>
  <c r="Z37" i="3"/>
  <c r="BC38" i="3"/>
  <c r="BD38" i="3"/>
  <c r="BE38" i="3"/>
  <c r="BF38" i="3"/>
  <c r="BG38" i="3"/>
  <c r="BH38" i="3"/>
  <c r="BI38" i="3"/>
  <c r="BJ38" i="3"/>
  <c r="BK38" i="3"/>
  <c r="BL38" i="3"/>
  <c r="BM38" i="3"/>
  <c r="BN38" i="3"/>
  <c r="BO38" i="3"/>
  <c r="BP38" i="3"/>
  <c r="BQ38" i="3"/>
  <c r="Z38" i="3"/>
  <c r="BB39" i="3"/>
  <c r="BC39" i="3"/>
  <c r="BD39" i="3"/>
  <c r="BE39" i="3"/>
  <c r="BF39" i="3"/>
  <c r="BG39" i="3"/>
  <c r="BH39" i="3"/>
  <c r="BI39" i="3"/>
  <c r="BJ39" i="3"/>
  <c r="BK39" i="3"/>
  <c r="BL39" i="3"/>
  <c r="BM39" i="3"/>
  <c r="BN39" i="3"/>
  <c r="BO39" i="3"/>
  <c r="BP39" i="3"/>
  <c r="BQ39" i="3"/>
  <c r="Z39" i="3"/>
  <c r="BB40" i="3"/>
  <c r="BC40" i="3"/>
  <c r="BD40" i="3"/>
  <c r="BE40" i="3"/>
  <c r="BF40" i="3"/>
  <c r="BG40" i="3"/>
  <c r="BH40" i="3"/>
  <c r="BI40" i="3"/>
  <c r="BJ40" i="3"/>
  <c r="BK40" i="3"/>
  <c r="BL40" i="3"/>
  <c r="BM40" i="3"/>
  <c r="BN40" i="3"/>
  <c r="BO40" i="3"/>
  <c r="BP40" i="3"/>
  <c r="BQ40" i="3"/>
  <c r="Z40" i="3"/>
  <c r="BB41" i="3"/>
  <c r="BC41" i="3"/>
  <c r="BD41" i="3"/>
  <c r="BE41" i="3"/>
  <c r="BF41" i="3"/>
  <c r="BG41" i="3"/>
  <c r="BH41" i="3"/>
  <c r="BI41" i="3"/>
  <c r="BJ41" i="3"/>
  <c r="BK41" i="3"/>
  <c r="BL41" i="3"/>
  <c r="BM41" i="3"/>
  <c r="BN41" i="3"/>
  <c r="BO41" i="3"/>
  <c r="BP41" i="3"/>
  <c r="BQ41" i="3"/>
  <c r="Z41" i="3"/>
  <c r="BC42" i="3"/>
  <c r="BD42" i="3"/>
  <c r="BE42" i="3"/>
  <c r="BF42" i="3"/>
  <c r="BG42" i="3"/>
  <c r="BH42" i="3"/>
  <c r="BI42" i="3"/>
  <c r="BJ42" i="3"/>
  <c r="BK42" i="3"/>
  <c r="BL42" i="3"/>
  <c r="BM42" i="3"/>
  <c r="BN42" i="3"/>
  <c r="BO42" i="3"/>
  <c r="BP42" i="3"/>
  <c r="BQ42" i="3"/>
  <c r="Z42" i="3"/>
  <c r="BB43" i="3"/>
  <c r="BC43" i="3"/>
  <c r="BD43" i="3"/>
  <c r="BE43" i="3"/>
  <c r="BF43" i="3"/>
  <c r="BG43" i="3"/>
  <c r="BH43" i="3"/>
  <c r="BI43" i="3"/>
  <c r="BJ43" i="3"/>
  <c r="BK43" i="3"/>
  <c r="BL43" i="3"/>
  <c r="BM43" i="3"/>
  <c r="BN43" i="3"/>
  <c r="BO43" i="3"/>
  <c r="BP43" i="3"/>
  <c r="BQ43" i="3"/>
  <c r="Z43" i="3"/>
  <c r="BB44" i="3"/>
  <c r="BC44" i="3"/>
  <c r="BD44" i="3"/>
  <c r="BE44" i="3"/>
  <c r="BF44" i="3"/>
  <c r="BG44" i="3"/>
  <c r="BH44" i="3"/>
  <c r="BI44" i="3"/>
  <c r="BJ44" i="3"/>
  <c r="BK44" i="3"/>
  <c r="BL44" i="3"/>
  <c r="BM44" i="3"/>
  <c r="BN44" i="3"/>
  <c r="BO44" i="3"/>
  <c r="BP44" i="3"/>
  <c r="BQ44" i="3"/>
  <c r="Z44" i="3"/>
  <c r="BB45" i="3"/>
  <c r="BC45" i="3"/>
  <c r="BD45" i="3"/>
  <c r="BE45" i="3"/>
  <c r="BF45" i="3"/>
  <c r="BG45" i="3"/>
  <c r="BH45" i="3"/>
  <c r="BI45" i="3"/>
  <c r="BJ45" i="3"/>
  <c r="BK45" i="3"/>
  <c r="BL45" i="3"/>
  <c r="BM45" i="3"/>
  <c r="BN45" i="3"/>
  <c r="BO45" i="3"/>
  <c r="BP45" i="3"/>
  <c r="BQ45" i="3"/>
  <c r="Z45" i="3"/>
  <c r="BC46" i="3"/>
  <c r="BD46" i="3"/>
  <c r="BE46" i="3"/>
  <c r="BF46" i="3"/>
  <c r="BG46" i="3"/>
  <c r="BH46" i="3"/>
  <c r="BI46" i="3"/>
  <c r="BJ46" i="3"/>
  <c r="BK46" i="3"/>
  <c r="BL46" i="3"/>
  <c r="BM46" i="3"/>
  <c r="BN46" i="3"/>
  <c r="BO46" i="3"/>
  <c r="BP46" i="3"/>
  <c r="BQ46" i="3"/>
  <c r="Z46" i="3"/>
  <c r="BB47" i="3"/>
  <c r="BC47" i="3"/>
  <c r="BD47" i="3"/>
  <c r="BE47" i="3"/>
  <c r="BF47" i="3"/>
  <c r="BG47" i="3"/>
  <c r="BH47" i="3"/>
  <c r="BI47" i="3"/>
  <c r="BJ47" i="3"/>
  <c r="BK47" i="3"/>
  <c r="BL47" i="3"/>
  <c r="BM47" i="3"/>
  <c r="BN47" i="3"/>
  <c r="BO47" i="3"/>
  <c r="BP47" i="3"/>
  <c r="BQ47" i="3"/>
  <c r="Z47" i="3"/>
  <c r="BB48" i="3"/>
  <c r="BC48" i="3"/>
  <c r="BD48" i="3"/>
  <c r="BE48" i="3"/>
  <c r="BF48" i="3"/>
  <c r="BG48" i="3"/>
  <c r="BH48" i="3"/>
  <c r="BI48" i="3"/>
  <c r="BJ48" i="3"/>
  <c r="BK48" i="3"/>
  <c r="BL48" i="3"/>
  <c r="BM48" i="3"/>
  <c r="BN48" i="3"/>
  <c r="BO48" i="3"/>
  <c r="BP48" i="3"/>
  <c r="BQ48" i="3"/>
  <c r="Z48" i="3"/>
  <c r="BB49" i="3"/>
  <c r="BC49" i="3"/>
  <c r="BD49" i="3"/>
  <c r="BE49" i="3"/>
  <c r="BF49" i="3"/>
  <c r="BG49" i="3"/>
  <c r="BH49" i="3"/>
  <c r="BI49" i="3"/>
  <c r="BJ49" i="3"/>
  <c r="BK49" i="3"/>
  <c r="BL49" i="3"/>
  <c r="BM49" i="3"/>
  <c r="BN49" i="3"/>
  <c r="BO49" i="3"/>
  <c r="BP49" i="3"/>
  <c r="BQ49" i="3"/>
  <c r="Z49" i="3"/>
  <c r="BC50" i="3"/>
  <c r="BD50" i="3"/>
  <c r="BE50" i="3"/>
  <c r="BF50" i="3"/>
  <c r="BG50" i="3"/>
  <c r="BH50" i="3"/>
  <c r="BI50" i="3"/>
  <c r="BJ50" i="3"/>
  <c r="BK50" i="3"/>
  <c r="BL50" i="3"/>
  <c r="BM50" i="3"/>
  <c r="BN50" i="3"/>
  <c r="BO50" i="3"/>
  <c r="BP50" i="3"/>
  <c r="BQ50" i="3"/>
  <c r="Z50" i="3"/>
  <c r="BB51" i="3"/>
  <c r="BC51" i="3"/>
  <c r="BD51" i="3"/>
  <c r="BE51" i="3"/>
  <c r="BF51" i="3"/>
  <c r="BG51" i="3"/>
  <c r="BH51" i="3"/>
  <c r="BI51" i="3"/>
  <c r="BJ51" i="3"/>
  <c r="BK51" i="3"/>
  <c r="BL51" i="3"/>
  <c r="BM51" i="3"/>
  <c r="BN51" i="3"/>
  <c r="BO51" i="3"/>
  <c r="BP51" i="3"/>
  <c r="BQ51" i="3"/>
  <c r="Z51" i="3"/>
  <c r="BB52" i="3"/>
  <c r="BC52" i="3"/>
  <c r="BD52" i="3"/>
  <c r="BE52" i="3"/>
  <c r="BF52" i="3"/>
  <c r="BG52" i="3"/>
  <c r="BH52" i="3"/>
  <c r="BI52" i="3"/>
  <c r="BJ52" i="3"/>
  <c r="BK52" i="3"/>
  <c r="BL52" i="3"/>
  <c r="BM52" i="3"/>
  <c r="BN52" i="3"/>
  <c r="BO52" i="3"/>
  <c r="BP52" i="3"/>
  <c r="BQ52" i="3"/>
  <c r="Z52" i="3"/>
  <c r="BB53" i="3"/>
  <c r="BC53" i="3"/>
  <c r="BD53" i="3"/>
  <c r="BE53" i="3"/>
  <c r="BF53" i="3"/>
  <c r="BG53" i="3"/>
  <c r="BH53" i="3"/>
  <c r="BI53" i="3"/>
  <c r="BJ53" i="3"/>
  <c r="BK53" i="3"/>
  <c r="BL53" i="3"/>
  <c r="BM53" i="3"/>
  <c r="BN53" i="3"/>
  <c r="BO53" i="3"/>
  <c r="BP53" i="3"/>
  <c r="BQ53" i="3"/>
  <c r="Z53" i="3"/>
  <c r="BC54" i="3"/>
  <c r="BD54" i="3"/>
  <c r="BE54" i="3"/>
  <c r="BF54" i="3"/>
  <c r="BG54" i="3"/>
  <c r="BH54" i="3"/>
  <c r="BI54" i="3"/>
  <c r="BJ54" i="3"/>
  <c r="BK54" i="3"/>
  <c r="BL54" i="3"/>
  <c r="BM54" i="3"/>
  <c r="BN54" i="3"/>
  <c r="BO54" i="3"/>
  <c r="BP54" i="3"/>
  <c r="BQ54" i="3"/>
  <c r="Z54" i="3"/>
  <c r="BB55" i="3"/>
  <c r="BC55" i="3"/>
  <c r="BD55" i="3"/>
  <c r="BE55" i="3"/>
  <c r="BF55" i="3"/>
  <c r="BG55" i="3"/>
  <c r="BH55" i="3"/>
  <c r="BI55" i="3"/>
  <c r="BJ55" i="3"/>
  <c r="BK55" i="3"/>
  <c r="BL55" i="3"/>
  <c r="BM55" i="3"/>
  <c r="BN55" i="3"/>
  <c r="BO55" i="3"/>
  <c r="BP55" i="3"/>
  <c r="BQ55" i="3"/>
  <c r="Z55" i="3"/>
  <c r="BB56" i="3"/>
  <c r="BC56" i="3"/>
  <c r="BD56" i="3"/>
  <c r="BE56" i="3"/>
  <c r="BF56" i="3"/>
  <c r="BG56" i="3"/>
  <c r="BH56" i="3"/>
  <c r="BI56" i="3"/>
  <c r="BJ56" i="3"/>
  <c r="BK56" i="3"/>
  <c r="BL56" i="3"/>
  <c r="BM56" i="3"/>
  <c r="BN56" i="3"/>
  <c r="BO56" i="3"/>
  <c r="BP56" i="3"/>
  <c r="BQ56" i="3"/>
  <c r="Z56" i="3"/>
  <c r="BB57" i="3"/>
  <c r="BC57" i="3"/>
  <c r="BD57" i="3"/>
  <c r="BE57" i="3"/>
  <c r="BF57" i="3"/>
  <c r="BG57" i="3"/>
  <c r="BH57" i="3"/>
  <c r="BI57" i="3"/>
  <c r="BJ57" i="3"/>
  <c r="BK57" i="3"/>
  <c r="BL57" i="3"/>
  <c r="BM57" i="3"/>
  <c r="BN57" i="3"/>
  <c r="BO57" i="3"/>
  <c r="BP57" i="3"/>
  <c r="BQ57" i="3"/>
  <c r="Z57" i="3"/>
  <c r="BC58" i="3"/>
  <c r="BD58" i="3"/>
  <c r="BE58" i="3"/>
  <c r="BF58" i="3"/>
  <c r="BG58" i="3"/>
  <c r="BH58" i="3"/>
  <c r="BI58" i="3"/>
  <c r="BJ58" i="3"/>
  <c r="BK58" i="3"/>
  <c r="BL58" i="3"/>
  <c r="BM58" i="3"/>
  <c r="BN58" i="3"/>
  <c r="BO58" i="3"/>
  <c r="BP58" i="3"/>
  <c r="BQ58" i="3"/>
  <c r="AI36" i="2"/>
  <c r="G60" i="5"/>
  <c r="B60" i="5" s="1"/>
  <c r="G43" i="5"/>
  <c r="G44" i="5"/>
  <c r="G45" i="5"/>
  <c r="G46" i="5"/>
  <c r="G51" i="5"/>
  <c r="G48" i="5"/>
  <c r="G49" i="5"/>
  <c r="G50" i="5"/>
  <c r="G54" i="5"/>
  <c r="G55" i="5"/>
  <c r="G56" i="5"/>
  <c r="G57" i="5"/>
  <c r="G58" i="5"/>
  <c r="G59" i="5"/>
  <c r="G61" i="5"/>
  <c r="G63" i="5"/>
  <c r="G64" i="5"/>
  <c r="G65" i="5"/>
  <c r="G66" i="5"/>
  <c r="G67" i="5"/>
  <c r="G68" i="5"/>
  <c r="G69" i="5"/>
  <c r="G70" i="5"/>
  <c r="G71" i="5"/>
  <c r="G72" i="5"/>
  <c r="G73" i="5"/>
  <c r="G74" i="5"/>
  <c r="G75" i="5"/>
  <c r="G76" i="5"/>
  <c r="F18" i="5"/>
  <c r="F19" i="5"/>
  <c r="F20" i="5"/>
  <c r="B26" i="5"/>
  <c r="B28" i="5" s="1"/>
  <c r="B43" i="5"/>
  <c r="H43" i="5"/>
  <c r="B44" i="5"/>
  <c r="H44" i="5"/>
  <c r="O44" i="5"/>
  <c r="P44" i="5"/>
  <c r="B45" i="5"/>
  <c r="H45" i="5"/>
  <c r="J45" i="5"/>
  <c r="O45" i="5"/>
  <c r="P45" i="5"/>
  <c r="B46" i="5"/>
  <c r="H46" i="5"/>
  <c r="J46" i="5"/>
  <c r="O46" i="5"/>
  <c r="P46" i="5"/>
  <c r="J47" i="5"/>
  <c r="O47" i="5"/>
  <c r="P47" i="5"/>
  <c r="H48" i="5"/>
  <c r="B49" i="5"/>
  <c r="H49" i="5"/>
  <c r="H50" i="5"/>
  <c r="B51" i="5"/>
  <c r="H51" i="5"/>
  <c r="B54" i="5"/>
  <c r="H54" i="5"/>
  <c r="B55" i="5"/>
  <c r="H55" i="5"/>
  <c r="B56" i="5"/>
  <c r="H56" i="5"/>
  <c r="B57" i="5"/>
  <c r="H57" i="5"/>
  <c r="H58" i="5"/>
  <c r="B59" i="5"/>
  <c r="H59" i="5"/>
  <c r="H60" i="5"/>
  <c r="B61" i="5"/>
  <c r="H61" i="5"/>
  <c r="B63" i="5"/>
  <c r="H63" i="5"/>
  <c r="B64" i="5"/>
  <c r="H64" i="5"/>
  <c r="B65" i="5"/>
  <c r="H65" i="5"/>
  <c r="B66" i="5"/>
  <c r="H66" i="5"/>
  <c r="B67" i="5"/>
  <c r="H67" i="5"/>
  <c r="B68" i="5"/>
  <c r="H68" i="5"/>
  <c r="B69" i="5"/>
  <c r="H69" i="5"/>
  <c r="B70" i="5"/>
  <c r="H70" i="5"/>
  <c r="B71" i="5"/>
  <c r="H71" i="5"/>
  <c r="B72" i="5"/>
  <c r="H72" i="5"/>
  <c r="B73" i="5"/>
  <c r="H73" i="5"/>
  <c r="B74" i="5"/>
  <c r="H74" i="5"/>
  <c r="B75" i="5"/>
  <c r="H75" i="5"/>
  <c r="B76" i="5"/>
  <c r="H76" i="5"/>
  <c r="B79" i="5"/>
  <c r="G24" i="9"/>
  <c r="G25" i="9"/>
  <c r="G26" i="9"/>
  <c r="G27" i="9"/>
  <c r="G28" i="9"/>
  <c r="G29" i="9"/>
  <c r="G30" i="9"/>
  <c r="G31" i="9"/>
  <c r="G32" i="9"/>
  <c r="G33" i="9"/>
  <c r="G34" i="9"/>
  <c r="G35"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H36" i="2"/>
  <c r="AO36" i="2" s="1"/>
  <c r="G36" i="2"/>
  <c r="G38" i="2" s="1"/>
  <c r="C36" i="2"/>
  <c r="AJ36" i="2"/>
  <c r="K36" i="2"/>
  <c r="K38" i="2"/>
  <c r="L36" i="2"/>
  <c r="M32" i="5" s="1"/>
  <c r="M33" i="5" s="1"/>
  <c r="N36" i="2"/>
  <c r="N38" i="2" s="1"/>
  <c r="F11" i="1"/>
  <c r="AS36" i="2"/>
  <c r="D32" i="5"/>
  <c r="D33" i="5" s="1"/>
  <c r="I32" i="5"/>
  <c r="I33" i="5" s="1"/>
  <c r="AR36" i="2"/>
  <c r="C38" i="2"/>
  <c r="L32" i="5"/>
  <c r="L33" i="5" s="1"/>
  <c r="AU36" i="2"/>
  <c r="L37" i="2"/>
  <c r="C37" i="2"/>
  <c r="K37" i="2"/>
  <c r="H38" i="2"/>
  <c r="P36" i="2"/>
  <c r="M36" i="2"/>
  <c r="M38" i="2" s="1"/>
  <c r="F36" i="2"/>
  <c r="J36" i="2"/>
  <c r="K32" i="5" s="1"/>
  <c r="K33" i="5" s="1"/>
  <c r="D36" i="2"/>
  <c r="B36" i="2" s="1"/>
  <c r="B32" i="5" s="1"/>
  <c r="S35" i="1"/>
  <c r="E32" i="5"/>
  <c r="E33" i="5"/>
  <c r="AK36" i="2"/>
  <c r="D37" i="2"/>
  <c r="G32" i="5"/>
  <c r="G33" i="5" s="1"/>
  <c r="AM36" i="2"/>
  <c r="F37" i="2"/>
  <c r="F38" i="2"/>
  <c r="P37" i="2"/>
  <c r="Q32" i="5"/>
  <c r="Q33" i="5" s="1"/>
  <c r="P48" i="2"/>
  <c r="AW36" i="2"/>
  <c r="P38" i="2"/>
  <c r="J38" i="2"/>
  <c r="I37" i="2"/>
  <c r="M37" i="2"/>
  <c r="P50" i="2"/>
  <c r="T11" i="1"/>
  <c r="U12" i="1" l="1"/>
  <c r="R37" i="5" s="1"/>
  <c r="R38" i="5" s="1"/>
  <c r="S12" i="1"/>
  <c r="P37" i="5" s="1"/>
  <c r="P38" i="5" s="1"/>
  <c r="B12" i="9"/>
  <c r="C12" i="9"/>
  <c r="D12" i="9"/>
  <c r="K12" i="9"/>
  <c r="G62" i="5"/>
  <c r="B18" i="9" s="1"/>
  <c r="J18" i="9"/>
  <c r="J12" i="9"/>
  <c r="H47" i="5"/>
  <c r="F12" i="9"/>
  <c r="H26" i="9" s="1"/>
  <c r="I26" i="9" s="1"/>
  <c r="K12" i="1"/>
  <c r="H37" i="5" s="1"/>
  <c r="H38" i="5" s="1"/>
  <c r="N12" i="1"/>
  <c r="K37" i="5" s="1"/>
  <c r="K38" i="5" s="1"/>
  <c r="P12" i="9"/>
  <c r="B47" i="5"/>
  <c r="M12" i="9"/>
  <c r="G12" i="9"/>
  <c r="I12" i="9"/>
  <c r="O12" i="1"/>
  <c r="L37" i="5" s="1"/>
  <c r="L38" i="5" s="1"/>
  <c r="G12" i="1"/>
  <c r="D37" i="5" s="1"/>
  <c r="D38" i="5" s="1"/>
  <c r="L12" i="1"/>
  <c r="I37" i="5" s="1"/>
  <c r="I38" i="5" s="1"/>
  <c r="O12" i="9"/>
  <c r="H12" i="1"/>
  <c r="E37" i="5" s="1"/>
  <c r="G5" i="5"/>
  <c r="T12" i="1"/>
  <c r="Q37" i="5" s="1"/>
  <c r="Q38" i="5" s="1"/>
  <c r="Q48" i="2"/>
  <c r="Q37" i="2"/>
  <c r="R32" i="5"/>
  <c r="R33" i="5" s="1"/>
  <c r="Q38" i="2"/>
  <c r="AX36" i="2"/>
  <c r="AP36" i="2"/>
  <c r="I38" i="2"/>
  <c r="J32" i="5"/>
  <c r="J33" i="5" s="1"/>
  <c r="E37" i="2"/>
  <c r="AL36" i="2"/>
  <c r="E38" i="2"/>
  <c r="F32" i="5"/>
  <c r="F33" i="5" s="1"/>
  <c r="G15" i="1"/>
  <c r="D17" i="1"/>
  <c r="E17" i="1" s="1"/>
  <c r="D18" i="1"/>
  <c r="D20" i="1"/>
  <c r="D19" i="1"/>
  <c r="I12" i="1"/>
  <c r="P12" i="1"/>
  <c r="E12" i="9"/>
  <c r="J12" i="1"/>
  <c r="H12" i="9"/>
  <c r="M12" i="1"/>
  <c r="J79" i="5"/>
  <c r="T73" i="1"/>
  <c r="R12" i="1"/>
  <c r="AT36" i="2"/>
  <c r="J37" i="2"/>
  <c r="AQ36" i="2"/>
  <c r="AN36" i="2"/>
  <c r="AH36" i="2" s="1"/>
  <c r="N48" i="2"/>
  <c r="O32" i="5"/>
  <c r="O33" i="5" s="1"/>
  <c r="H32" i="5"/>
  <c r="H33" i="5" s="1"/>
  <c r="Q34" i="1"/>
  <c r="Q35" i="1"/>
  <c r="O36" i="2"/>
  <c r="M48" i="2"/>
  <c r="N32" i="5"/>
  <c r="N33" i="5" s="1"/>
  <c r="D38" i="2"/>
  <c r="L48" i="2"/>
  <c r="N37" i="2"/>
  <c r="G37" i="2"/>
  <c r="L38" i="2"/>
  <c r="H37" i="2"/>
  <c r="H30" i="9" l="1"/>
  <c r="J30" i="9" s="1"/>
  <c r="N18" i="9"/>
  <c r="I18" i="9"/>
  <c r="E18" i="9"/>
  <c r="H47" i="9" s="1"/>
  <c r="B62" i="5"/>
  <c r="M18" i="9"/>
  <c r="H61" i="9" s="1"/>
  <c r="G6" i="5"/>
  <c r="D18" i="9"/>
  <c r="H62" i="5"/>
  <c r="G18" i="9"/>
  <c r="H58" i="9" s="1"/>
  <c r="J58" i="9" s="1"/>
  <c r="L18" i="9"/>
  <c r="K18" i="9"/>
  <c r="P18" i="9"/>
  <c r="O18" i="9"/>
  <c r="H31" i="9"/>
  <c r="J31" i="9" s="1"/>
  <c r="H34" i="9"/>
  <c r="W34" i="9" s="1"/>
  <c r="H18" i="9"/>
  <c r="C18" i="9"/>
  <c r="F18" i="9"/>
  <c r="H41" i="9" s="1"/>
  <c r="H27" i="9"/>
  <c r="W27" i="9" s="1"/>
  <c r="H29" i="9"/>
  <c r="J29" i="9" s="1"/>
  <c r="H35" i="9"/>
  <c r="W26" i="9"/>
  <c r="H28" i="9"/>
  <c r="I28" i="9" s="1"/>
  <c r="K20" i="5"/>
  <c r="H69" i="9"/>
  <c r="J69" i="9" s="1"/>
  <c r="H70" i="9"/>
  <c r="I70" i="9" s="1"/>
  <c r="J26" i="9"/>
  <c r="H67" i="9"/>
  <c r="E38" i="5"/>
  <c r="I30" i="9"/>
  <c r="W30" i="9"/>
  <c r="T13" i="1"/>
  <c r="R11" i="1"/>
  <c r="N50" i="2"/>
  <c r="H25" i="9"/>
  <c r="H24" i="9"/>
  <c r="Q12" i="1"/>
  <c r="L12" i="9"/>
  <c r="F42" i="2"/>
  <c r="AH39" i="2" s="1"/>
  <c r="J37" i="5"/>
  <c r="J38" i="5" s="1"/>
  <c r="Q11" i="1"/>
  <c r="M50" i="2"/>
  <c r="U79" i="5"/>
  <c r="P79" i="5"/>
  <c r="H33" i="9"/>
  <c r="H32" i="9"/>
  <c r="L50" i="2"/>
  <c r="P11" i="1"/>
  <c r="O37" i="2"/>
  <c r="O48" i="2"/>
  <c r="AV36" i="2"/>
  <c r="P32" i="5"/>
  <c r="P33" i="5" s="1"/>
  <c r="O38" i="2"/>
  <c r="O37" i="5"/>
  <c r="O38" i="5" s="1"/>
  <c r="R13" i="1"/>
  <c r="G37" i="5"/>
  <c r="M37" i="5"/>
  <c r="M38" i="5" s="1"/>
  <c r="F37" i="5"/>
  <c r="F38" i="5" s="1"/>
  <c r="U11" i="1"/>
  <c r="U13" i="1" s="1"/>
  <c r="Q50" i="2"/>
  <c r="W31" i="9" l="1"/>
  <c r="H63" i="9"/>
  <c r="I27" i="9"/>
  <c r="H65" i="9"/>
  <c r="W65" i="9" s="1"/>
  <c r="H48" i="9"/>
  <c r="H64" i="9"/>
  <c r="J64" i="9" s="1"/>
  <c r="H46" i="9"/>
  <c r="J27" i="9"/>
  <c r="H49" i="9"/>
  <c r="H45" i="9"/>
  <c r="J45" i="9" s="1"/>
  <c r="H68" i="9"/>
  <c r="I34" i="9"/>
  <c r="J34" i="9"/>
  <c r="H50" i="9"/>
  <c r="W50" i="9" s="1"/>
  <c r="H56" i="9"/>
  <c r="W56" i="9" s="1"/>
  <c r="H60" i="9"/>
  <c r="I60" i="9" s="1"/>
  <c r="H66" i="9"/>
  <c r="J66" i="9" s="1"/>
  <c r="H62" i="9"/>
  <c r="I62" i="9" s="1"/>
  <c r="H59" i="9"/>
  <c r="W59" i="9" s="1"/>
  <c r="I31" i="9"/>
  <c r="H57" i="9"/>
  <c r="W57" i="9" s="1"/>
  <c r="H54" i="9"/>
  <c r="J54" i="9" s="1"/>
  <c r="H52" i="9"/>
  <c r="I52" i="9" s="1"/>
  <c r="H51" i="9"/>
  <c r="W51" i="9" s="1"/>
  <c r="H55" i="9"/>
  <c r="I55" i="9" s="1"/>
  <c r="H53" i="9"/>
  <c r="J53" i="9" s="1"/>
  <c r="I56" i="9"/>
  <c r="J56" i="9"/>
  <c r="I41" i="9"/>
  <c r="W41" i="9"/>
  <c r="H42" i="9"/>
  <c r="J42" i="9" s="1"/>
  <c r="H43" i="9"/>
  <c r="I43" i="9" s="1"/>
  <c r="H44" i="9"/>
  <c r="W44" i="9" s="1"/>
  <c r="W58" i="9"/>
  <c r="J41" i="9"/>
  <c r="I58" i="9"/>
  <c r="I29" i="9"/>
  <c r="W29" i="9"/>
  <c r="I69" i="9"/>
  <c r="W69" i="9"/>
  <c r="I35" i="9"/>
  <c r="W35" i="9"/>
  <c r="J35" i="9"/>
  <c r="J28" i="9"/>
  <c r="J57" i="9"/>
  <c r="W28" i="9"/>
  <c r="W70" i="9"/>
  <c r="J70" i="9"/>
  <c r="J59" i="9"/>
  <c r="J67" i="9"/>
  <c r="W67" i="9"/>
  <c r="I67" i="9"/>
  <c r="D67" i="1"/>
  <c r="D66" i="1"/>
  <c r="E66" i="1" s="1"/>
  <c r="AJ39" i="2"/>
  <c r="AR39" i="2"/>
  <c r="AN39" i="2"/>
  <c r="AQ39" i="2"/>
  <c r="AO39" i="2"/>
  <c r="AK39" i="2"/>
  <c r="AL39" i="2"/>
  <c r="AM39" i="2"/>
  <c r="AP39" i="2"/>
  <c r="I46" i="9"/>
  <c r="W46" i="9"/>
  <c r="J46" i="9"/>
  <c r="J47" i="9"/>
  <c r="W47" i="9"/>
  <c r="I47" i="9"/>
  <c r="W52" i="9"/>
  <c r="D69" i="1"/>
  <c r="D68" i="1"/>
  <c r="E68" i="1" s="1"/>
  <c r="G38" i="5"/>
  <c r="J21" i="5"/>
  <c r="L21" i="5"/>
  <c r="K19" i="5"/>
  <c r="K21" i="5"/>
  <c r="B37" i="5"/>
  <c r="F22" i="5" s="1"/>
  <c r="J50" i="9"/>
  <c r="J48" i="9"/>
  <c r="W48" i="9"/>
  <c r="I48" i="9"/>
  <c r="I68" i="9"/>
  <c r="J68" i="9"/>
  <c r="W68" i="9"/>
  <c r="I61" i="9"/>
  <c r="J61" i="9"/>
  <c r="W61" i="9"/>
  <c r="P13" i="1"/>
  <c r="F52" i="1" s="1"/>
  <c r="D63" i="1"/>
  <c r="D62" i="1"/>
  <c r="E62" i="1" s="1"/>
  <c r="I32" i="9"/>
  <c r="W32" i="9"/>
  <c r="J32" i="9"/>
  <c r="W49" i="9"/>
  <c r="J49" i="9"/>
  <c r="I49" i="9"/>
  <c r="W64" i="9"/>
  <c r="N37" i="5"/>
  <c r="N38" i="5" s="1"/>
  <c r="Q13" i="1"/>
  <c r="W24" i="9"/>
  <c r="J24" i="9"/>
  <c r="I24" i="9"/>
  <c r="I63" i="9"/>
  <c r="W63" i="9"/>
  <c r="J63" i="9"/>
  <c r="O50" i="2"/>
  <c r="S11" i="1"/>
  <c r="S13" i="1" s="1"/>
  <c r="W33" i="9"/>
  <c r="I33" i="9"/>
  <c r="J33" i="9"/>
  <c r="W45" i="9"/>
  <c r="F21" i="5"/>
  <c r="J42" i="2"/>
  <c r="J25" i="9"/>
  <c r="I25" i="9"/>
  <c r="W25" i="9"/>
  <c r="I65" i="9" l="1"/>
  <c r="J65" i="9"/>
  <c r="I50" i="9"/>
  <c r="I54" i="9"/>
  <c r="I64" i="9"/>
  <c r="I45" i="9"/>
  <c r="W62" i="9"/>
  <c r="J60" i="9"/>
  <c r="W60" i="9"/>
  <c r="I66" i="9"/>
  <c r="W66" i="9"/>
  <c r="J62" i="9"/>
  <c r="I57" i="9"/>
  <c r="W54" i="9"/>
  <c r="I59" i="9"/>
  <c r="J52" i="9"/>
  <c r="I53" i="9"/>
  <c r="I44" i="9"/>
  <c r="W55" i="9"/>
  <c r="J55" i="9"/>
  <c r="W53" i="9"/>
  <c r="I42" i="9"/>
  <c r="I51" i="9"/>
  <c r="J43" i="9"/>
  <c r="J51" i="9"/>
  <c r="W43" i="9"/>
  <c r="J44" i="9"/>
  <c r="W42" i="9"/>
  <c r="D64" i="1"/>
  <c r="E64" i="1" s="1"/>
  <c r="D65" i="1"/>
  <c r="D60" i="1"/>
  <c r="E60" i="1" s="1"/>
  <c r="D61" i="1"/>
  <c r="D55" i="1"/>
  <c r="D53" i="1"/>
  <c r="E53" i="1" s="1"/>
  <c r="D54" i="1"/>
  <c r="AI39" i="2"/>
  <c r="AH40" i="2" s="1"/>
  <c r="I36" i="9"/>
  <c r="I71" i="9" l="1"/>
  <c r="B8" i="5" s="1"/>
  <c r="AO40" i="2"/>
  <c r="AQ40" i="2"/>
  <c r="AL40" i="2"/>
  <c r="AN40" i="2"/>
  <c r="AK40" i="2"/>
  <c r="AR40" i="2"/>
  <c r="AM40" i="2"/>
  <c r="AJ40" i="2"/>
  <c r="AP40" i="2"/>
  <c r="AI40" i="2" l="1"/>
  <c r="AH41" i="2" s="1"/>
  <c r="AR41" i="2" l="1"/>
  <c r="AJ41" i="2"/>
  <c r="AQ41" i="2"/>
  <c r="AO41" i="2"/>
  <c r="AK41" i="2"/>
  <c r="AL41" i="2"/>
  <c r="AM41" i="2"/>
  <c r="AN41" i="2"/>
  <c r="AP41" i="2"/>
  <c r="AI41" i="2" l="1"/>
  <c r="AH42" i="2" s="1"/>
  <c r="AJ42" i="2" s="1"/>
  <c r="AP42" i="2"/>
  <c r="AR42" i="2"/>
  <c r="AQ42" i="2" l="1"/>
  <c r="AN42" i="2"/>
  <c r="AL42" i="2"/>
  <c r="AM42" i="2"/>
  <c r="AK42" i="2"/>
  <c r="AO42" i="2"/>
  <c r="AI42" i="2" l="1"/>
  <c r="AH43" i="2" s="1"/>
  <c r="AK43" i="2" l="1"/>
  <c r="AN43" i="2"/>
  <c r="AJ43" i="2"/>
  <c r="AM43" i="2"/>
  <c r="AR43" i="2"/>
  <c r="AL43" i="2"/>
  <c r="AO43" i="2"/>
  <c r="AP43" i="2"/>
  <c r="AQ43" i="2"/>
  <c r="AI43" i="2" l="1"/>
  <c r="AH44" i="2" s="1"/>
  <c r="AJ44" i="2" l="1"/>
  <c r="AL44" i="2"/>
  <c r="AR44" i="2"/>
  <c r="AP44" i="2"/>
  <c r="AQ44" i="2"/>
  <c r="AO44" i="2"/>
  <c r="AN44" i="2"/>
  <c r="AK44" i="2"/>
  <c r="AM44" i="2"/>
  <c r="AI44" i="2" l="1"/>
  <c r="AH45" i="2" s="1"/>
  <c r="AP45" i="2" l="1"/>
  <c r="AN45" i="2"/>
  <c r="AR45" i="2"/>
  <c r="AL45" i="2"/>
  <c r="AM45" i="2"/>
  <c r="AK45" i="2"/>
  <c r="AJ45" i="2"/>
  <c r="AO45" i="2"/>
  <c r="AQ45" i="2"/>
  <c r="AI45" i="2" l="1"/>
  <c r="AH46" i="2" s="1"/>
  <c r="AO46" i="2" s="1"/>
  <c r="AQ46" i="2"/>
  <c r="AN46" i="2"/>
  <c r="AM46" i="2"/>
  <c r="AR46" i="2" l="1"/>
  <c r="AL46" i="2"/>
  <c r="AJ46" i="2"/>
  <c r="AP46" i="2"/>
  <c r="AI46" i="2" s="1"/>
  <c r="AH47" i="2" s="1"/>
  <c r="AK46" i="2"/>
  <c r="AL47" i="2" l="1"/>
  <c r="AP47" i="2"/>
  <c r="AM47" i="2"/>
  <c r="AK47" i="2"/>
  <c r="AQ47" i="2"/>
  <c r="AJ47" i="2"/>
  <c r="AO47" i="2"/>
  <c r="AN47" i="2"/>
  <c r="AR47" i="2"/>
  <c r="AI47" i="2" l="1"/>
  <c r="AH48" i="2" s="1"/>
  <c r="AL48" i="2" l="1"/>
  <c r="E48" i="2" s="1"/>
  <c r="AR48" i="2"/>
  <c r="K48" i="2" s="1"/>
  <c r="AJ48" i="2"/>
  <c r="C48" i="2" s="1"/>
  <c r="AQ48" i="2"/>
  <c r="J48" i="2" s="1"/>
  <c r="AP48" i="2"/>
  <c r="I48" i="2" s="1"/>
  <c r="AK48" i="2"/>
  <c r="AN48" i="2"/>
  <c r="G48" i="2" s="1"/>
  <c r="AO48" i="2"/>
  <c r="H48" i="2" s="1"/>
  <c r="AM48" i="2"/>
  <c r="F48" i="2" s="1"/>
  <c r="N11" i="1" l="1"/>
  <c r="N13" i="1" s="1"/>
  <c r="J50" i="2"/>
  <c r="H55" i="2"/>
  <c r="N55" i="2"/>
  <c r="K11" i="1"/>
  <c r="K13" i="1" s="1"/>
  <c r="F28" i="1" s="1"/>
  <c r="G50" i="2"/>
  <c r="G11" i="1"/>
  <c r="C50" i="2"/>
  <c r="B55" i="2"/>
  <c r="O55" i="2"/>
  <c r="L11" i="1"/>
  <c r="H50" i="2"/>
  <c r="I55" i="2"/>
  <c r="D48" i="2"/>
  <c r="AI48" i="2"/>
  <c r="K50" i="2"/>
  <c r="O11" i="1"/>
  <c r="O13" i="1" s="1"/>
  <c r="F50" i="2"/>
  <c r="G55" i="2"/>
  <c r="M55" i="2"/>
  <c r="J11" i="1"/>
  <c r="I50" i="2"/>
  <c r="M11" i="1"/>
  <c r="M13" i="1" s="1"/>
  <c r="D71" i="1" s="1"/>
  <c r="I11" i="1"/>
  <c r="E50" i="2"/>
  <c r="D31" i="1" l="1"/>
  <c r="D29" i="1"/>
  <c r="E29" i="1" s="1"/>
  <c r="D30" i="1"/>
  <c r="J13" i="1"/>
  <c r="F48" i="1" s="1"/>
  <c r="I13" i="1"/>
  <c r="F38" i="1" s="1"/>
  <c r="L13" i="1"/>
  <c r="F41" i="1" s="1"/>
  <c r="G13" i="1"/>
  <c r="D46" i="1" s="1"/>
  <c r="E46" i="1" s="1"/>
  <c r="D50" i="2"/>
  <c r="B48" i="2"/>
  <c r="H11" i="1"/>
  <c r="D55" i="2"/>
  <c r="F45" i="1" l="1"/>
  <c r="D50" i="1"/>
  <c r="D49" i="1"/>
  <c r="E49" i="1" s="1"/>
  <c r="D24" i="1"/>
  <c r="D25" i="1"/>
  <c r="D39" i="1"/>
  <c r="E39" i="1" s="1"/>
  <c r="D26" i="1"/>
  <c r="D43" i="1"/>
  <c r="D42" i="1"/>
  <c r="E42" i="1" s="1"/>
  <c r="H13" i="1"/>
  <c r="F33" i="1" s="1"/>
  <c r="D36" i="1" l="1"/>
  <c r="D34" i="1"/>
  <c r="E34" i="1" s="1"/>
  <c r="D35" i="1"/>
</calcChain>
</file>

<file path=xl/comments1.xml><?xml version="1.0" encoding="utf-8"?>
<comments xmlns="http://schemas.openxmlformats.org/spreadsheetml/2006/main">
  <authors>
    <author>Luca Incrocci</author>
    <author>Dbpa</author>
  </authors>
  <commentList>
    <comment ref="B15" authorId="0" shapeId="0">
      <text>
        <r>
          <rPr>
            <sz val="12"/>
            <color indexed="81"/>
            <rFont val="Arial"/>
            <family val="2"/>
          </rPr>
          <t>Insert in the yellow cells the concentration of macronutrients (mM) and micronutrients (uM) in the irrigation water. If ion concentration is expressed in mg/L, you must convert it to mM using unit converter tool.</t>
        </r>
        <r>
          <rPr>
            <sz val="8"/>
            <color indexed="81"/>
            <rFont val="Tahoma"/>
            <family val="2"/>
          </rPr>
          <t xml:space="preserve">
</t>
        </r>
      </text>
    </comment>
    <comment ref="B18" authorId="1" shapeId="0">
      <text>
        <r>
          <rPr>
            <sz val="12"/>
            <color indexed="81"/>
            <rFont val="Comic Sans MS"/>
            <family val="4"/>
          </rPr>
          <t>EC calculation according to  Sonneveld et al. 1999.</t>
        </r>
        <r>
          <rPr>
            <sz val="8"/>
            <color indexed="81"/>
            <rFont val="Tahoma"/>
            <family val="2"/>
          </rPr>
          <t xml:space="preserve">
</t>
        </r>
      </text>
    </comment>
    <comment ref="F20" authorId="0" shapeId="0">
      <text>
        <r>
          <rPr>
            <b/>
            <sz val="11"/>
            <color indexed="11"/>
            <rFont val="Arial"/>
            <family val="2"/>
          </rPr>
          <t>GREEN COLOUR:</t>
        </r>
        <r>
          <rPr>
            <sz val="11"/>
            <color indexed="10"/>
            <rFont val="Arial"/>
            <family val="2"/>
          </rPr>
          <t xml:space="preserve"> </t>
        </r>
        <r>
          <rPr>
            <sz val="11"/>
            <color indexed="8"/>
            <rFont val="Arial"/>
            <family val="2"/>
          </rPr>
          <t xml:space="preserve">OK; equivalent concentrations of cations and aniones are similar.
</t>
        </r>
        <r>
          <rPr>
            <b/>
            <sz val="11"/>
            <color indexed="10"/>
            <rFont val="Arial"/>
            <family val="2"/>
          </rPr>
          <t>RED COLOUR:</t>
        </r>
        <r>
          <rPr>
            <sz val="11"/>
            <color indexed="10"/>
            <rFont val="Arial"/>
            <family val="2"/>
          </rPr>
          <t xml:space="preserve">  </t>
        </r>
        <r>
          <rPr>
            <sz val="11"/>
            <color indexed="81"/>
            <rFont val="Arial"/>
            <family val="2"/>
          </rPr>
          <t>equivalent concentrations of cations and aniones differ by more than 1 meq/L, thus check input data for values and concentration unit.</t>
        </r>
      </text>
    </comment>
    <comment ref="F23" authorId="0" shapeId="0">
      <text>
        <r>
          <rPr>
            <b/>
            <sz val="11"/>
            <color indexed="81"/>
            <rFont val="Arial"/>
            <family val="2"/>
          </rPr>
          <t>OK</t>
        </r>
        <r>
          <rPr>
            <sz val="11"/>
            <color indexed="81"/>
            <rFont val="Arial"/>
            <family val="2"/>
          </rPr>
          <t xml:space="preserve"> = low concentration, no problem for all crops.
</t>
        </r>
        <r>
          <rPr>
            <b/>
            <sz val="11"/>
            <color indexed="81"/>
            <rFont val="Arial"/>
            <family val="2"/>
          </rPr>
          <t>HIGH:</t>
        </r>
        <r>
          <rPr>
            <sz val="11"/>
            <color indexed="81"/>
            <rFont val="Arial"/>
            <family val="2"/>
          </rPr>
          <t xml:space="preserve"> risk of toxicity in sensitive crops.  </t>
        </r>
        <r>
          <rPr>
            <sz val="11"/>
            <color indexed="81"/>
            <rFont val="Comic Sans MS"/>
            <family val="4"/>
          </rPr>
          <t xml:space="preserve">
</t>
        </r>
      </text>
    </comment>
    <comment ref="G26" authorId="1" shapeId="0">
      <text>
        <r>
          <rPr>
            <sz val="12"/>
            <color indexed="81"/>
            <rFont val="Arial"/>
            <family val="2"/>
          </rPr>
          <t>Select the injection ratio of fertigation device (50 to 250).  Ratio higher than 250 may result in salt precipitation in the stock nutrient solutions.</t>
        </r>
      </text>
    </comment>
    <comment ref="F30" authorId="1" shapeId="0">
      <text>
        <r>
          <rPr>
            <sz val="12"/>
            <color indexed="81"/>
            <rFont val="Arial"/>
            <family val="2"/>
          </rPr>
          <t xml:space="preserve">Select one of the recipes from the database. New recipes may be added to database from RECIPE sheet.
</t>
        </r>
      </text>
    </comment>
    <comment ref="B36" authorId="1" shapeId="0">
      <text>
        <r>
          <rPr>
            <sz val="12"/>
            <color indexed="81"/>
            <rFont val="Arial"/>
            <family val="2"/>
          </rPr>
          <t xml:space="preserve">EC is calculated according to  Sonneveld </t>
        </r>
        <r>
          <rPr>
            <i/>
            <sz val="12"/>
            <color indexed="81"/>
            <rFont val="Arial"/>
            <family val="2"/>
          </rPr>
          <t xml:space="preserve">et al. </t>
        </r>
        <r>
          <rPr>
            <sz val="12"/>
            <color indexed="81"/>
            <rFont val="Arial"/>
            <family val="2"/>
          </rPr>
          <t>1999.</t>
        </r>
        <r>
          <rPr>
            <sz val="8"/>
            <color indexed="81"/>
            <rFont val="Tahoma"/>
            <family val="2"/>
          </rPr>
          <t xml:space="preserve">
</t>
        </r>
      </text>
    </comment>
    <comment ref="B38" authorId="1" shapeId="0">
      <text>
        <r>
          <rPr>
            <sz val="12"/>
            <color indexed="81"/>
            <rFont val="Arial"/>
            <family val="2"/>
          </rPr>
          <t>The test evaluates if  the concentration of each ion concentration is within the normal range for most crop species.</t>
        </r>
      </text>
    </comment>
    <comment ref="G40" authorId="1" shapeId="0">
      <text>
        <r>
          <rPr>
            <sz val="12"/>
            <color indexed="81"/>
            <rFont val="Arial"/>
            <family val="2"/>
          </rPr>
          <t>EC of the nominal nutrient solution resulting from the combination of recipe and irrigation water.</t>
        </r>
      </text>
    </comment>
    <comment ref="M40" authorId="1" shapeId="0">
      <text>
        <r>
          <rPr>
            <sz val="12"/>
            <color indexed="81"/>
            <rFont val="Arial"/>
            <family val="2"/>
          </rPr>
          <t xml:space="preserve">Insert the target EC of nutrient solution based on your crop, if it is different from calculated EC. </t>
        </r>
      </text>
    </comment>
    <comment ref="B48" authorId="1" shapeId="0">
      <text>
        <r>
          <rPr>
            <sz val="12"/>
            <color indexed="81"/>
            <rFont val="Arialù"/>
          </rPr>
          <t>EC is calculated according to  Sonneveld et al. 1999.</t>
        </r>
        <r>
          <rPr>
            <sz val="8"/>
            <color indexed="81"/>
            <rFont val="Tahoma"/>
            <family val="2"/>
          </rPr>
          <t xml:space="preserve">
</t>
        </r>
      </text>
    </comment>
    <comment ref="B50" authorId="1" shapeId="0">
      <text>
        <r>
          <rPr>
            <sz val="12"/>
            <color indexed="81"/>
            <rFont val="Arial"/>
            <family val="2"/>
          </rPr>
          <t>The test evaluates if  the concentration of each ion concentration is within the normal range for most crop species.</t>
        </r>
      </text>
    </comment>
  </commentList>
</comments>
</file>

<file path=xl/comments2.xml><?xml version="1.0" encoding="utf-8"?>
<comments xmlns="http://schemas.openxmlformats.org/spreadsheetml/2006/main">
  <authors>
    <author>Dbpa</author>
  </authors>
  <commentList>
    <comment ref="B4" authorId="0" shapeId="0">
      <text>
        <r>
          <rPr>
            <sz val="12"/>
            <color indexed="81"/>
            <rFont val="Arial"/>
            <family val="2"/>
          </rPr>
          <t>Check if the nutrient content of the fertilizer reported here is the same of  your fertilizer.If you insert the fertilizer costs, sol-nutri will calculate the total price of the nutrient solution.</t>
        </r>
      </text>
    </comment>
    <comment ref="D8" authorId="0" shapeId="0">
      <text>
        <r>
          <rPr>
            <sz val="12"/>
            <color indexed="81"/>
            <rFont val="Arial"/>
            <family val="2"/>
          </rPr>
          <t>This information is reported in the product datasheet.</t>
        </r>
      </text>
    </comment>
    <comment ref="K8" authorId="0" shapeId="0">
      <text>
        <r>
          <rPr>
            <sz val="12"/>
            <color indexed="81"/>
            <rFont val="Arial"/>
            <family val="2"/>
          </rPr>
          <t>P</t>
        </r>
        <r>
          <rPr>
            <vertAlign val="subscript"/>
            <sz val="12"/>
            <color indexed="81"/>
            <rFont val="Arial"/>
            <family val="2"/>
          </rPr>
          <t>2</t>
        </r>
        <r>
          <rPr>
            <sz val="12"/>
            <color indexed="81"/>
            <rFont val="Arial"/>
            <family val="2"/>
          </rPr>
          <t>O</t>
        </r>
        <r>
          <rPr>
            <vertAlign val="subscript"/>
            <sz val="12"/>
            <color indexed="81"/>
            <rFont val="Arial"/>
            <family val="2"/>
          </rPr>
          <t xml:space="preserve">5 </t>
        </r>
        <r>
          <rPr>
            <sz val="12"/>
            <color indexed="81"/>
            <rFont val="Arial"/>
            <family val="2"/>
          </rPr>
          <t>* 0,436 = P
P *2,291 = P</t>
        </r>
        <r>
          <rPr>
            <vertAlign val="subscript"/>
            <sz val="12"/>
            <color indexed="81"/>
            <rFont val="Arial"/>
            <family val="2"/>
          </rPr>
          <t>2</t>
        </r>
        <r>
          <rPr>
            <sz val="12"/>
            <color indexed="81"/>
            <rFont val="Arial"/>
            <family val="2"/>
          </rPr>
          <t>O</t>
        </r>
        <r>
          <rPr>
            <vertAlign val="subscript"/>
            <sz val="12"/>
            <color indexed="81"/>
            <rFont val="Arial"/>
            <family val="2"/>
          </rPr>
          <t>5</t>
        </r>
        <r>
          <rPr>
            <b/>
            <sz val="12"/>
            <color indexed="81"/>
            <rFont val="Arial"/>
            <family val="2"/>
          </rPr>
          <t xml:space="preserve">
</t>
        </r>
        <r>
          <rPr>
            <sz val="8"/>
            <color indexed="81"/>
            <rFont val="Arial"/>
            <family val="2"/>
          </rPr>
          <t xml:space="preserve">
</t>
        </r>
      </text>
    </comment>
    <comment ref="L8" authorId="0" shapeId="0">
      <text>
        <r>
          <rPr>
            <sz val="12"/>
            <color indexed="81"/>
            <rFont val="Arial"/>
            <family val="2"/>
          </rPr>
          <t>K</t>
        </r>
        <r>
          <rPr>
            <vertAlign val="subscript"/>
            <sz val="12"/>
            <color indexed="81"/>
            <rFont val="Arial"/>
            <family val="2"/>
          </rPr>
          <t>2</t>
        </r>
        <r>
          <rPr>
            <sz val="12"/>
            <color indexed="81"/>
            <rFont val="Arial"/>
            <family val="2"/>
          </rPr>
          <t>O * 0,830 = K</t>
        </r>
        <r>
          <rPr>
            <sz val="12"/>
            <color indexed="81"/>
            <rFont val="Comic Sans MS"/>
            <family val="4"/>
          </rPr>
          <t xml:space="preserve">
</t>
        </r>
        <r>
          <rPr>
            <sz val="12"/>
            <color indexed="81"/>
            <rFont val="Arial"/>
            <family val="2"/>
          </rPr>
          <t xml:space="preserve">
K * 1,205 = K</t>
        </r>
        <r>
          <rPr>
            <vertAlign val="subscript"/>
            <sz val="12"/>
            <color indexed="81"/>
            <rFont val="Arial"/>
            <family val="2"/>
          </rPr>
          <t>2</t>
        </r>
        <r>
          <rPr>
            <sz val="12"/>
            <color indexed="81"/>
            <rFont val="Arial"/>
            <family val="2"/>
          </rPr>
          <t>O</t>
        </r>
      </text>
    </comment>
    <comment ref="M8" authorId="0" shapeId="0">
      <text>
        <r>
          <rPr>
            <sz val="12"/>
            <color indexed="81"/>
            <rFont val="Arial"/>
            <family val="2"/>
          </rPr>
          <t>CaO * 0,715 = Ca
Ca * 1,399 = CaO</t>
        </r>
      </text>
    </comment>
    <comment ref="N8" authorId="0" shapeId="0">
      <text>
        <r>
          <rPr>
            <sz val="12"/>
            <color indexed="81"/>
            <rFont val="Arial"/>
            <family val="2"/>
          </rPr>
          <t xml:space="preserve">MgO * 0,603 = Mg
Mg * 1,658 = MgO
</t>
        </r>
      </text>
    </comment>
    <comment ref="P8" authorId="0" shapeId="0">
      <text>
        <r>
          <rPr>
            <sz val="12"/>
            <color indexed="81"/>
            <rFont val="Arial"/>
            <family val="2"/>
          </rPr>
          <t>SO</t>
        </r>
        <r>
          <rPr>
            <vertAlign val="subscript"/>
            <sz val="12"/>
            <color indexed="81"/>
            <rFont val="Arial"/>
            <family val="2"/>
          </rPr>
          <t>3</t>
        </r>
        <r>
          <rPr>
            <sz val="12"/>
            <color indexed="81"/>
            <rFont val="Arial"/>
            <family val="2"/>
          </rPr>
          <t xml:space="preserve"> * 0,400 = S
S * 2,497 = SO3</t>
        </r>
      </text>
    </comment>
    <comment ref="E10" authorId="0" shapeId="0">
      <text>
        <r>
          <rPr>
            <sz val="12"/>
            <color indexed="81"/>
            <rFont val="Arial"/>
            <family val="2"/>
          </rPr>
          <t>Commercially available nitric acid:
Reagent pure grade: density (d)=1,40 % 65
Commercial grade 1: d=1,39 % 65 (42 Bè)
Commercial grade 2: d=1,33 % 53 (36 Bè)</t>
        </r>
      </text>
    </comment>
    <comment ref="E11" authorId="0" shapeId="0">
      <text>
        <r>
          <rPr>
            <sz val="12"/>
            <color indexed="81"/>
            <rFont val="Arial"/>
            <family val="2"/>
          </rPr>
          <t xml:space="preserve">Commercially available phosphoric acid:
reagent pure grade: density (d) =1,69 %=85 (59.2° Bé)
commercial grade 1: d= 1,58 %=75  (53.2° Bé)
commercial grade 2: </t>
        </r>
        <r>
          <rPr>
            <sz val="8"/>
            <color indexed="81"/>
            <rFont val="Tahoma"/>
            <family val="2"/>
          </rPr>
          <t xml:space="preserve">
</t>
        </r>
      </text>
    </comment>
    <comment ref="E12" authorId="0" shapeId="0">
      <text>
        <r>
          <rPr>
            <sz val="12"/>
            <color indexed="81"/>
            <rFont val="Arial"/>
            <family val="2"/>
          </rPr>
          <t>Commercially available sulphuric acid:
Reagent pure grade: density (d)=1, 84  % 96-98
Commercial grade 1: d=1,835  % 94-98 (66 Bè)
Commercial grade 2: d=1,58    % 53   (53.2 Bè)
Commercial grade 3: d=1,26    % 35   (30 Bè)</t>
        </r>
        <r>
          <rPr>
            <sz val="12"/>
            <color indexed="81"/>
            <rFont val="Comic Sans MS"/>
            <family val="4"/>
          </rPr>
          <t xml:space="preserve">
</t>
        </r>
      </text>
    </comment>
    <comment ref="E13" authorId="0" shapeId="0">
      <text>
        <r>
          <rPr>
            <sz val="12"/>
            <color indexed="81"/>
            <rFont val="Arial"/>
            <family val="2"/>
          </rPr>
          <t>Commercially available chloridric acid:
Reagent pure grade: density (d)=1,186 % 36,5
commercial grade 1: d= % 
commercial grade: d= %</t>
        </r>
      </text>
    </comment>
    <comment ref="K15" authorId="0" shapeId="0">
      <text>
        <r>
          <rPr>
            <sz val="12"/>
            <color indexed="81"/>
            <rFont val="Arial"/>
            <family val="2"/>
          </rPr>
          <t>P</t>
        </r>
        <r>
          <rPr>
            <vertAlign val="subscript"/>
            <sz val="12"/>
            <color indexed="81"/>
            <rFont val="Arial"/>
            <family val="2"/>
          </rPr>
          <t>2</t>
        </r>
        <r>
          <rPr>
            <sz val="12"/>
            <color indexed="81"/>
            <rFont val="Arial"/>
            <family val="2"/>
          </rPr>
          <t>O</t>
        </r>
        <r>
          <rPr>
            <vertAlign val="subscript"/>
            <sz val="12"/>
            <color indexed="81"/>
            <rFont val="Arial"/>
            <family val="2"/>
          </rPr>
          <t xml:space="preserve">5 </t>
        </r>
        <r>
          <rPr>
            <sz val="12"/>
            <color indexed="81"/>
            <rFont val="Arial"/>
            <family val="2"/>
          </rPr>
          <t>* 0,436 = P
P *2,291 = P</t>
        </r>
        <r>
          <rPr>
            <vertAlign val="subscript"/>
            <sz val="12"/>
            <color indexed="81"/>
            <rFont val="Arial"/>
            <family val="2"/>
          </rPr>
          <t>2</t>
        </r>
        <r>
          <rPr>
            <sz val="12"/>
            <color indexed="81"/>
            <rFont val="Arial"/>
            <family val="2"/>
          </rPr>
          <t>O</t>
        </r>
        <r>
          <rPr>
            <vertAlign val="subscript"/>
            <sz val="12"/>
            <color indexed="81"/>
            <rFont val="Arial"/>
            <family val="2"/>
          </rPr>
          <t>5</t>
        </r>
        <r>
          <rPr>
            <b/>
            <sz val="12"/>
            <color indexed="81"/>
            <rFont val="Arial"/>
            <family val="2"/>
          </rPr>
          <t xml:space="preserve">
</t>
        </r>
        <r>
          <rPr>
            <sz val="8"/>
            <color indexed="81"/>
            <rFont val="Arial"/>
            <family val="2"/>
          </rPr>
          <t xml:space="preserve">
</t>
        </r>
      </text>
    </comment>
    <comment ref="L15" authorId="0" shapeId="0">
      <text>
        <r>
          <rPr>
            <sz val="12"/>
            <color indexed="81"/>
            <rFont val="Arial"/>
            <family val="2"/>
          </rPr>
          <t>K</t>
        </r>
        <r>
          <rPr>
            <vertAlign val="subscript"/>
            <sz val="12"/>
            <color indexed="81"/>
            <rFont val="Arial"/>
            <family val="2"/>
          </rPr>
          <t>2</t>
        </r>
        <r>
          <rPr>
            <sz val="12"/>
            <color indexed="81"/>
            <rFont val="Arial"/>
            <family val="2"/>
          </rPr>
          <t>O * 0,830 = K
K * 1,205 = K</t>
        </r>
        <r>
          <rPr>
            <vertAlign val="subscript"/>
            <sz val="12"/>
            <color indexed="81"/>
            <rFont val="Arial"/>
            <family val="2"/>
          </rPr>
          <t>2</t>
        </r>
        <r>
          <rPr>
            <sz val="12"/>
            <color indexed="81"/>
            <rFont val="Arial"/>
            <family val="2"/>
          </rPr>
          <t>O</t>
        </r>
        <r>
          <rPr>
            <sz val="8"/>
            <color indexed="81"/>
            <rFont val="Arial"/>
            <family val="2"/>
          </rPr>
          <t xml:space="preserve">
</t>
        </r>
      </text>
    </comment>
    <comment ref="M15" authorId="0" shapeId="0">
      <text>
        <r>
          <rPr>
            <sz val="12"/>
            <color indexed="81"/>
            <rFont val="Arial"/>
            <family val="2"/>
          </rPr>
          <t>CaO * 0,715 = Ca
Ca * 1,399 = CaO</t>
        </r>
      </text>
    </comment>
    <comment ref="N15" authorId="0" shapeId="0">
      <text>
        <r>
          <rPr>
            <sz val="12"/>
            <color indexed="81"/>
            <rFont val="Arial"/>
            <family val="2"/>
          </rPr>
          <t xml:space="preserve">MgO * 0,603 = Mg
Mg * 1,658 = MgO
</t>
        </r>
      </text>
    </comment>
    <comment ref="P15" authorId="0" shapeId="0">
      <text>
        <r>
          <rPr>
            <sz val="12"/>
            <color indexed="81"/>
            <rFont val="Arial"/>
            <family val="2"/>
          </rPr>
          <t>SO</t>
        </r>
        <r>
          <rPr>
            <vertAlign val="subscript"/>
            <sz val="12"/>
            <color indexed="81"/>
            <rFont val="Arial"/>
            <family val="2"/>
          </rPr>
          <t>3</t>
        </r>
        <r>
          <rPr>
            <sz val="12"/>
            <color indexed="81"/>
            <rFont val="Arial"/>
            <family val="2"/>
          </rPr>
          <t xml:space="preserve"> * 0,400 = S
S * 2,497 = SO</t>
        </r>
      </text>
    </comment>
    <comment ref="K41" authorId="0" shapeId="0">
      <text>
        <r>
          <rPr>
            <sz val="12"/>
            <color indexed="81"/>
            <rFont val="Arial"/>
            <family val="2"/>
          </rPr>
          <t>P</t>
        </r>
        <r>
          <rPr>
            <vertAlign val="subscript"/>
            <sz val="12"/>
            <color indexed="81"/>
            <rFont val="Arial"/>
            <family val="2"/>
          </rPr>
          <t>2</t>
        </r>
        <r>
          <rPr>
            <sz val="12"/>
            <color indexed="81"/>
            <rFont val="Arial"/>
            <family val="2"/>
          </rPr>
          <t>O</t>
        </r>
        <r>
          <rPr>
            <vertAlign val="subscript"/>
            <sz val="12"/>
            <color indexed="81"/>
            <rFont val="Arial"/>
            <family val="2"/>
          </rPr>
          <t xml:space="preserve">5 </t>
        </r>
        <r>
          <rPr>
            <sz val="12"/>
            <color indexed="81"/>
            <rFont val="Arial"/>
            <family val="2"/>
          </rPr>
          <t>* 0,436 = P
P *2,291 = P</t>
        </r>
        <r>
          <rPr>
            <vertAlign val="subscript"/>
            <sz val="12"/>
            <color indexed="81"/>
            <rFont val="Arial"/>
            <family val="2"/>
          </rPr>
          <t>2</t>
        </r>
        <r>
          <rPr>
            <sz val="12"/>
            <color indexed="81"/>
            <rFont val="Arial"/>
            <family val="2"/>
          </rPr>
          <t>O</t>
        </r>
        <r>
          <rPr>
            <vertAlign val="subscript"/>
            <sz val="12"/>
            <color indexed="81"/>
            <rFont val="Arial"/>
            <family val="2"/>
          </rPr>
          <t>5</t>
        </r>
        <r>
          <rPr>
            <b/>
            <sz val="12"/>
            <color indexed="81"/>
            <rFont val="Arial"/>
            <family val="2"/>
          </rPr>
          <t xml:space="preserve">
</t>
        </r>
        <r>
          <rPr>
            <sz val="8"/>
            <color indexed="81"/>
            <rFont val="Arial"/>
            <family val="2"/>
          </rPr>
          <t xml:space="preserve">
</t>
        </r>
      </text>
    </comment>
    <comment ref="L41" authorId="0" shapeId="0">
      <text>
        <r>
          <rPr>
            <sz val="12"/>
            <color indexed="81"/>
            <rFont val="Arial"/>
            <family val="2"/>
          </rPr>
          <t>K</t>
        </r>
        <r>
          <rPr>
            <vertAlign val="subscript"/>
            <sz val="12"/>
            <color indexed="81"/>
            <rFont val="Arial"/>
            <family val="2"/>
          </rPr>
          <t>2</t>
        </r>
        <r>
          <rPr>
            <sz val="12"/>
            <color indexed="81"/>
            <rFont val="Arial"/>
            <family val="2"/>
          </rPr>
          <t>O * 0,830 = K
K * 1,205 = K</t>
        </r>
        <r>
          <rPr>
            <vertAlign val="subscript"/>
            <sz val="12"/>
            <color indexed="81"/>
            <rFont val="Arial"/>
            <family val="2"/>
          </rPr>
          <t>2</t>
        </r>
        <r>
          <rPr>
            <sz val="12"/>
            <color indexed="81"/>
            <rFont val="Arial"/>
            <family val="2"/>
          </rPr>
          <t>O</t>
        </r>
        <r>
          <rPr>
            <sz val="8"/>
            <color indexed="81"/>
            <rFont val="Arial"/>
            <family val="2"/>
          </rPr>
          <t xml:space="preserve">
</t>
        </r>
      </text>
    </comment>
    <comment ref="M41" authorId="0" shapeId="0">
      <text>
        <r>
          <rPr>
            <sz val="12"/>
            <color indexed="81"/>
            <rFont val="Arial"/>
            <family val="2"/>
          </rPr>
          <t>CaO * 0,715 = Ca
Ca * 1,399 = CaO</t>
        </r>
      </text>
    </comment>
    <comment ref="N41" authorId="0" shapeId="0">
      <text>
        <r>
          <rPr>
            <sz val="12"/>
            <color indexed="81"/>
            <rFont val="Arial"/>
            <family val="2"/>
          </rPr>
          <t xml:space="preserve">MgO * 0,603 = Mg
Mg * 1,658 = MgO
</t>
        </r>
      </text>
    </comment>
    <comment ref="P41" authorId="0" shapeId="0">
      <text>
        <r>
          <rPr>
            <sz val="12"/>
            <color indexed="81"/>
            <rFont val="Arial"/>
            <family val="2"/>
          </rPr>
          <t>SO</t>
        </r>
        <r>
          <rPr>
            <vertAlign val="subscript"/>
            <sz val="12"/>
            <color indexed="81"/>
            <rFont val="Arial"/>
            <family val="2"/>
          </rPr>
          <t>3</t>
        </r>
        <r>
          <rPr>
            <sz val="12"/>
            <color indexed="81"/>
            <rFont val="Arial"/>
            <family val="2"/>
          </rPr>
          <t xml:space="preserve"> * 0,400 = S
S * 2,497 = SO</t>
        </r>
      </text>
    </comment>
  </commentList>
</comments>
</file>

<file path=xl/comments3.xml><?xml version="1.0" encoding="utf-8"?>
<comments xmlns="http://schemas.openxmlformats.org/spreadsheetml/2006/main">
  <authors>
    <author>Dbpa</author>
  </authors>
  <commentList>
    <comment ref="D6" authorId="0" shapeId="0">
      <text>
        <r>
          <rPr>
            <b/>
            <sz val="10"/>
            <color indexed="17"/>
            <rFont val="Arial"/>
            <family val="2"/>
          </rPr>
          <t>GREEN COLOUR OK:</t>
        </r>
        <r>
          <rPr>
            <sz val="10"/>
            <color indexed="81"/>
            <rFont val="Arial"/>
            <family val="2"/>
          </rPr>
          <t xml:space="preserve">equivalent concentrations of cations and aniones are simila.
</t>
        </r>
        <r>
          <rPr>
            <b/>
            <sz val="10"/>
            <color indexed="10"/>
            <rFont val="Arial"/>
            <family val="2"/>
          </rPr>
          <t xml:space="preserve">RED COLOUR:  </t>
        </r>
        <r>
          <rPr>
            <sz val="10"/>
            <color indexed="81"/>
            <rFont val="Arial"/>
            <family val="2"/>
          </rPr>
          <t>equivalent concentrations of cations and aniones differ by more than meq/L, thus  check input data for values and concentration
.</t>
        </r>
      </text>
    </comment>
    <comment ref="C8" authorId="0" shapeId="0">
      <text>
        <r>
          <rPr>
            <sz val="12"/>
            <color indexed="81"/>
            <rFont val="Arial"/>
            <family val="2"/>
          </rPr>
          <t>EC is calculated according to  Sonneveld et al. 1999.</t>
        </r>
        <r>
          <rPr>
            <sz val="8"/>
            <color indexed="81"/>
            <rFont val="Tahoma"/>
            <family val="2"/>
          </rPr>
          <t xml:space="preserve">
</t>
        </r>
      </text>
    </comment>
  </commentList>
</comments>
</file>

<file path=xl/comments4.xml><?xml version="1.0" encoding="utf-8"?>
<comments xmlns="http://schemas.openxmlformats.org/spreadsheetml/2006/main">
  <authors>
    <author>Luca</author>
    <author>ALBERTO PARDOSSI</author>
  </authors>
  <commentList>
    <comment ref="F1" authorId="0" shapeId="0">
      <text>
        <r>
          <rPr>
            <sz val="12"/>
            <color indexed="81"/>
            <rFont val="Arial"/>
            <family val="2"/>
          </rPr>
          <t>Before to use the automatic calculation option, please activate the acid and the salts that you want use, by selecting Y/N yellow button near each salts</t>
        </r>
        <r>
          <rPr>
            <sz val="9"/>
            <color indexed="81"/>
            <rFont val="Tahoma"/>
            <family val="2"/>
          </rPr>
          <t xml:space="preserve"> 
</t>
        </r>
      </text>
    </comment>
    <comment ref="B8" authorId="1" shapeId="0">
      <text>
        <r>
          <rPr>
            <sz val="14"/>
            <color indexed="8"/>
            <rFont val="Arial"/>
            <family val="2"/>
          </rPr>
          <t>Insert in yellow cells suggested values (ADVICE) step by step. Calculation for each step is concluded when OK is shown in green cell.</t>
        </r>
      </text>
    </comment>
  </commentList>
</comments>
</file>

<file path=xl/comments5.xml><?xml version="1.0" encoding="utf-8"?>
<comments xmlns="http://schemas.openxmlformats.org/spreadsheetml/2006/main">
  <authors>
    <author>Luca Incrocci</author>
  </authors>
  <commentList>
    <comment ref="H3" authorId="0" shapeId="0">
      <text>
        <r>
          <rPr>
            <b/>
            <sz val="12"/>
            <color indexed="81"/>
            <rFont val="Comic Sans MS"/>
            <family val="4"/>
          </rPr>
          <t xml:space="preserve">If the precipitation test is positive, increase the injection ratio of fertigation device. Insert in the yellow box the new injection ratio and click on </t>
        </r>
        <r>
          <rPr>
            <b/>
            <u/>
            <sz val="12"/>
            <color indexed="81"/>
            <rFont val="Comic Sans MS"/>
            <family val="4"/>
          </rPr>
          <t>apply a new injection ratio</t>
        </r>
        <r>
          <rPr>
            <b/>
            <sz val="12"/>
            <color indexed="81"/>
            <rFont val="Comic Sans MS"/>
            <family val="4"/>
          </rPr>
          <t xml:space="preserve"> button.
</t>
        </r>
      </text>
    </comment>
    <comment ref="C24" authorId="0" shapeId="0">
      <text>
        <r>
          <rPr>
            <sz val="12"/>
            <color indexed="81"/>
            <rFont val="Arial"/>
            <family val="2"/>
          </rPr>
          <t xml:space="preserve">OK = low concentration, no problem for all crops.
HIGH: risk of toxicity in sensitive crops.  </t>
        </r>
      </text>
    </comment>
  </commentList>
</comments>
</file>

<file path=xl/comments6.xml><?xml version="1.0" encoding="utf-8"?>
<comments xmlns="http://schemas.openxmlformats.org/spreadsheetml/2006/main">
  <authors>
    <author>Luca Incrocci</author>
  </authors>
  <commentList>
    <comment ref="D23" authorId="0" shapeId="0">
      <text>
        <r>
          <rPr>
            <b/>
            <sz val="8"/>
            <color indexed="81"/>
            <rFont val="Tahoma"/>
            <family val="2"/>
          </rPr>
          <t xml:space="preserve">expressed as g/L,
</t>
        </r>
      </text>
    </comment>
    <comment ref="D24" authorId="0" shapeId="0">
      <text>
        <r>
          <rPr>
            <b/>
            <sz val="8"/>
            <color indexed="81"/>
            <rFont val="Tahoma"/>
            <family val="2"/>
          </rPr>
          <t>Fonte:</t>
        </r>
        <r>
          <rPr>
            <sz val="8"/>
            <color indexed="81"/>
            <rFont val="Tahoma"/>
            <family val="2"/>
          </rPr>
          <t xml:space="preserve"> CRC Handbook of Chemistry and physics, 68° ed.- a 0 °C; 247 a 100 °C</t>
        </r>
        <r>
          <rPr>
            <sz val="8"/>
            <color indexed="81"/>
            <rFont val="Tahoma"/>
            <family val="2"/>
          </rPr>
          <t xml:space="preserve">
</t>
        </r>
      </text>
    </comment>
    <comment ref="D25" authorId="0" shapeId="0">
      <text>
        <r>
          <rPr>
            <b/>
            <sz val="8"/>
            <color indexed="81"/>
            <rFont val="Tahoma"/>
            <family val="2"/>
          </rPr>
          <t>Fonte:</t>
        </r>
        <r>
          <rPr>
            <sz val="8"/>
            <color indexed="81"/>
            <rFont val="Tahoma"/>
            <family val="2"/>
          </rPr>
          <t xml:space="preserve"> CRC Handbook of Chemistry and physics, 68° ed.- a 10 °C;
 567 a 100 °C</t>
        </r>
        <r>
          <rPr>
            <sz val="8"/>
            <color indexed="81"/>
            <rFont val="Tahoma"/>
            <family val="2"/>
          </rPr>
          <t xml:space="preserve">
</t>
        </r>
      </text>
    </comment>
    <comment ref="D26" authorId="0" shapeId="0">
      <text>
        <r>
          <rPr>
            <b/>
            <sz val="8"/>
            <color indexed="81"/>
            <rFont val="Tahoma"/>
            <family val="2"/>
          </rPr>
          <t>Fonte:</t>
        </r>
        <r>
          <rPr>
            <sz val="8"/>
            <color indexed="81"/>
            <rFont val="Tahoma"/>
            <family val="2"/>
          </rPr>
          <t xml:space="preserve"> CRC Handbook of Chemistry and physics, 68° ed.
- a 0 °C;
 3760 a 100 °C</t>
        </r>
        <r>
          <rPr>
            <sz val="8"/>
            <color indexed="81"/>
            <rFont val="Tahoma"/>
            <family val="2"/>
          </rPr>
          <t xml:space="preserve">
</t>
        </r>
      </text>
    </comment>
    <comment ref="D27" authorId="0" shapeId="0">
      <text>
        <r>
          <rPr>
            <b/>
            <sz val="8"/>
            <color indexed="81"/>
            <rFont val="Tahoma"/>
            <family val="2"/>
          </rPr>
          <t>Fonte:</t>
        </r>
        <r>
          <rPr>
            <sz val="8"/>
            <color indexed="81"/>
            <rFont val="Tahoma"/>
            <family val="2"/>
          </rPr>
          <t xml:space="preserve"> CRC Handbook of Chemistry and physics, 68° ed.
745 a 20 °C;
1590 a 100 °C</t>
        </r>
        <r>
          <rPr>
            <sz val="8"/>
            <color indexed="81"/>
            <rFont val="Tahoma"/>
            <family val="2"/>
          </rPr>
          <t xml:space="preserve">
</t>
        </r>
      </text>
    </comment>
    <comment ref="D28" authorId="0" shapeId="0">
      <text>
        <r>
          <rPr>
            <b/>
            <sz val="8"/>
            <color indexed="81"/>
            <rFont val="Tahoma"/>
            <family val="2"/>
          </rPr>
          <t>Fonte:</t>
        </r>
        <r>
          <rPr>
            <sz val="8"/>
            <color indexed="81"/>
            <rFont val="Tahoma"/>
            <family val="2"/>
          </rPr>
          <t xml:space="preserve"> CRC Handbook of Chemistry and physics, 68° ed.
18 a 30 °C;
</t>
        </r>
        <r>
          <rPr>
            <sz val="8"/>
            <color indexed="81"/>
            <rFont val="Tahoma"/>
            <family val="2"/>
          </rPr>
          <t xml:space="preserve">
</t>
        </r>
      </text>
    </comment>
    <comment ref="D29" authorId="0" shapeId="0">
      <text>
        <r>
          <rPr>
            <b/>
            <sz val="8"/>
            <color indexed="81"/>
            <rFont val="Tahoma"/>
            <family val="2"/>
          </rPr>
          <t>Fonte:</t>
        </r>
        <r>
          <rPr>
            <sz val="8"/>
            <color indexed="81"/>
            <rFont val="Tahoma"/>
            <family val="2"/>
          </rPr>
          <t xml:space="preserve"> CRC Handbook of Chemistry and physics, 68° ed.
2.09 a 30 °C;
1.62 a 100 °C</t>
        </r>
        <r>
          <rPr>
            <sz val="8"/>
            <color indexed="81"/>
            <rFont val="Tahoma"/>
            <family val="2"/>
          </rPr>
          <t xml:space="preserve">
</t>
        </r>
      </text>
    </comment>
    <comment ref="D30" authorId="0" shapeId="0">
      <text>
        <r>
          <rPr>
            <b/>
            <sz val="8"/>
            <color indexed="81"/>
            <rFont val="Tahoma"/>
            <family val="2"/>
          </rPr>
          <t>Fonte:</t>
        </r>
        <r>
          <rPr>
            <sz val="8"/>
            <color indexed="81"/>
            <rFont val="Tahoma"/>
            <family val="2"/>
          </rPr>
          <t xml:space="preserve"> CRC Handbook of Chemistry and physics, 68° ed.- a 0 °C; 
8710 a 100 °C</t>
        </r>
        <r>
          <rPr>
            <sz val="8"/>
            <color indexed="81"/>
            <rFont val="Tahoma"/>
            <family val="2"/>
          </rPr>
          <t xml:space="preserve">
</t>
        </r>
      </text>
    </comment>
    <comment ref="D31" authorId="0" shapeId="0">
      <text>
        <r>
          <rPr>
            <b/>
            <sz val="8"/>
            <color indexed="81"/>
            <rFont val="Tahoma"/>
            <family val="2"/>
          </rPr>
          <t>Fonte:</t>
        </r>
        <r>
          <rPr>
            <sz val="8"/>
            <color indexed="81"/>
            <rFont val="Tahoma"/>
            <family val="2"/>
          </rPr>
          <t xml:space="preserve"> CRC Handbook of Chemistry and physics, 68° ed.- a 0 °C;
758 a 100 °C</t>
        </r>
        <r>
          <rPr>
            <sz val="8"/>
            <color indexed="81"/>
            <rFont val="Tahoma"/>
            <family val="2"/>
          </rPr>
          <t xml:space="preserve">
</t>
        </r>
      </text>
    </comment>
    <comment ref="D32" authorId="0" shapeId="0">
      <text>
        <r>
          <rPr>
            <b/>
            <sz val="8"/>
            <color indexed="81"/>
            <rFont val="Tahoma"/>
            <family val="2"/>
          </rPr>
          <t>Fonte:</t>
        </r>
        <r>
          <rPr>
            <sz val="8"/>
            <color indexed="81"/>
            <rFont val="Tahoma"/>
            <family val="2"/>
          </rPr>
          <t xml:space="preserve"> CRC Handbook of Chemistry and physics, 68° ed.- a 25 °C; 1800 a 100 °C</t>
        </r>
        <r>
          <rPr>
            <sz val="8"/>
            <color indexed="81"/>
            <rFont val="Tahoma"/>
            <family val="2"/>
          </rPr>
          <t xml:space="preserve">
</t>
        </r>
      </text>
    </comment>
    <comment ref="D33" authorId="0" shapeId="0">
      <text>
        <r>
          <rPr>
            <b/>
            <sz val="8"/>
            <color indexed="81"/>
            <rFont val="Tahoma"/>
            <family val="2"/>
          </rPr>
          <t>Fonte:</t>
        </r>
        <r>
          <rPr>
            <sz val="8"/>
            <color indexed="81"/>
            <rFont val="Tahoma"/>
            <family val="2"/>
          </rPr>
          <t xml:space="preserve"> CRC Handbook of Chemistry and physics, 68° ed.- a 0 °C; 391.2 a 100 °C</t>
        </r>
        <r>
          <rPr>
            <sz val="8"/>
            <color indexed="81"/>
            <rFont val="Tahoma"/>
            <family val="2"/>
          </rPr>
          <t xml:space="preserve">
</t>
        </r>
      </text>
    </comment>
    <comment ref="D34" authorId="0" shapeId="0">
      <text>
        <r>
          <rPr>
            <b/>
            <sz val="8"/>
            <color indexed="81"/>
            <rFont val="Tahoma"/>
            <family val="2"/>
          </rPr>
          <t>Fonte:</t>
        </r>
        <r>
          <rPr>
            <sz val="8"/>
            <color indexed="81"/>
            <rFont val="Tahoma"/>
            <family val="2"/>
          </rPr>
          <t xml:space="preserve"> CRC Handbook of Chemistry and physics, 68° ed.- a 20 °C; 1667 a 61 °C</t>
        </r>
        <r>
          <rPr>
            <sz val="8"/>
            <color indexed="81"/>
            <rFont val="Tahoma"/>
            <family val="2"/>
          </rPr>
          <t xml:space="preserve">
</t>
        </r>
      </text>
    </comment>
    <comment ref="D35" authorId="0" shapeId="0">
      <text>
        <r>
          <rPr>
            <b/>
            <sz val="8"/>
            <color indexed="81"/>
            <rFont val="Tahoma"/>
            <family val="2"/>
          </rPr>
          <t>Luca Incrocci:</t>
        </r>
        <r>
          <rPr>
            <sz val="8"/>
            <color indexed="81"/>
            <rFont val="Tahoma"/>
            <family val="2"/>
          </rPr>
          <t xml:space="preserve">
Fonte Merk, 10°C</t>
        </r>
      </text>
    </comment>
    <comment ref="D40" authorId="0" shapeId="0">
      <text>
        <r>
          <rPr>
            <b/>
            <sz val="8"/>
            <color indexed="81"/>
            <rFont val="Tahoma"/>
            <family val="2"/>
          </rPr>
          <t xml:space="preserve">expressed as g/L,
</t>
        </r>
      </text>
    </comment>
    <comment ref="D41" authorId="0" shapeId="0">
      <text>
        <r>
          <rPr>
            <b/>
            <sz val="8"/>
            <color indexed="81"/>
            <rFont val="Tahoma"/>
            <family val="2"/>
          </rPr>
          <t>Fonte:</t>
        </r>
        <r>
          <rPr>
            <sz val="8"/>
            <color indexed="81"/>
            <rFont val="Tahoma"/>
            <family val="2"/>
          </rPr>
          <t xml:space="preserve"> CRC Handbook of Chemistry and physics, 68° ed.
- a 0 °C;
 3760 a 100 °C</t>
        </r>
        <r>
          <rPr>
            <sz val="8"/>
            <color indexed="81"/>
            <rFont val="Tahoma"/>
            <family val="2"/>
          </rPr>
          <t xml:space="preserve">
</t>
        </r>
      </text>
    </comment>
    <comment ref="D42" authorId="0" shapeId="0">
      <text>
        <r>
          <rPr>
            <b/>
            <sz val="8"/>
            <color indexed="81"/>
            <rFont val="Tahoma"/>
            <family val="2"/>
          </rPr>
          <t>Fonte:</t>
        </r>
        <r>
          <rPr>
            <sz val="8"/>
            <color indexed="81"/>
            <rFont val="Tahoma"/>
            <family val="2"/>
          </rPr>
          <t xml:space="preserve"> CRC Handbook of Chemistry and physics, 68° ed.
745 a 20 °C;
1590 a 100 °C</t>
        </r>
        <r>
          <rPr>
            <sz val="8"/>
            <color indexed="81"/>
            <rFont val="Tahoma"/>
            <family val="2"/>
          </rPr>
          <t xml:space="preserve">
</t>
        </r>
      </text>
    </comment>
    <comment ref="D43" authorId="0" shapeId="0">
      <text>
        <r>
          <rPr>
            <b/>
            <sz val="8"/>
            <color indexed="81"/>
            <rFont val="Tahoma"/>
            <family val="2"/>
          </rPr>
          <t>Fonte:</t>
        </r>
        <r>
          <rPr>
            <sz val="8"/>
            <color indexed="81"/>
            <rFont val="Tahoma"/>
            <family val="2"/>
          </rPr>
          <t xml:space="preserve"> CRC Handbook of Chemistry and physics, 68° ed.
18 a 30 °C;
</t>
        </r>
        <r>
          <rPr>
            <sz val="8"/>
            <color indexed="81"/>
            <rFont val="Tahoma"/>
            <family val="2"/>
          </rPr>
          <t xml:space="preserve">
</t>
        </r>
      </text>
    </comment>
    <comment ref="D44" authorId="0" shapeId="0">
      <text>
        <r>
          <rPr>
            <b/>
            <sz val="8"/>
            <color indexed="81"/>
            <rFont val="Tahoma"/>
            <family val="2"/>
          </rPr>
          <t>Fonte:</t>
        </r>
        <r>
          <rPr>
            <sz val="8"/>
            <color indexed="81"/>
            <rFont val="Tahoma"/>
            <family val="2"/>
          </rPr>
          <t xml:space="preserve"> CRC Handbook of Chemistry and physics, 68° ed.
2.09 a 30 °C;
1.62 a 100 °C</t>
        </r>
        <r>
          <rPr>
            <sz val="8"/>
            <color indexed="81"/>
            <rFont val="Tahoma"/>
            <family val="2"/>
          </rPr>
          <t xml:space="preserve">
</t>
        </r>
      </text>
    </comment>
    <comment ref="D45" authorId="0" shapeId="0">
      <text>
        <r>
          <rPr>
            <b/>
            <sz val="8"/>
            <color indexed="81"/>
            <rFont val="Tahoma"/>
            <family val="2"/>
          </rPr>
          <t>Fonte:</t>
        </r>
        <r>
          <rPr>
            <sz val="8"/>
            <color indexed="81"/>
            <rFont val="Tahoma"/>
            <family val="2"/>
          </rPr>
          <t xml:space="preserve"> CRC Handbook of Chemistry and physics, 68° ed.- a 0 °C; 247 a 100 °C</t>
        </r>
        <r>
          <rPr>
            <sz val="8"/>
            <color indexed="81"/>
            <rFont val="Tahoma"/>
            <family val="2"/>
          </rPr>
          <t xml:space="preserve">
</t>
        </r>
      </text>
    </comment>
    <comment ref="D46" authorId="0" shapeId="0">
      <text>
        <r>
          <rPr>
            <b/>
            <sz val="8"/>
            <color indexed="81"/>
            <rFont val="Tahoma"/>
            <family val="2"/>
          </rPr>
          <t>Fonte:</t>
        </r>
        <r>
          <rPr>
            <sz val="8"/>
            <color indexed="81"/>
            <rFont val="Tahoma"/>
            <family val="2"/>
          </rPr>
          <t xml:space="preserve"> CRC Handbook of Chemistry and physics, 68° ed.- a 25 °C</t>
        </r>
        <r>
          <rPr>
            <sz val="8"/>
            <color indexed="81"/>
            <rFont val="Tahoma"/>
            <family val="2"/>
          </rPr>
          <t xml:space="preserve">
</t>
        </r>
      </text>
    </comment>
    <comment ref="D47" authorId="0" shapeId="0">
      <text>
        <r>
          <rPr>
            <b/>
            <sz val="8"/>
            <color indexed="81"/>
            <rFont val="Tahoma"/>
            <family val="2"/>
          </rPr>
          <t>Fonte:</t>
        </r>
        <r>
          <rPr>
            <sz val="8"/>
            <color indexed="81"/>
            <rFont val="Tahoma"/>
            <family val="2"/>
          </rPr>
          <t xml:space="preserve"> CRC Handbook of Chemistry and physics, 68° ed.- a 25 °C;
241 a 100 °C</t>
        </r>
        <r>
          <rPr>
            <sz val="8"/>
            <color indexed="81"/>
            <rFont val="Tahoma"/>
            <family val="2"/>
          </rPr>
          <t xml:space="preserve">
</t>
        </r>
      </text>
    </comment>
    <comment ref="D48" authorId="0" shapeId="0">
      <text>
        <r>
          <rPr>
            <b/>
            <sz val="8"/>
            <color indexed="81"/>
            <rFont val="Tahoma"/>
            <family val="2"/>
          </rPr>
          <t>Fonte:</t>
        </r>
        <r>
          <rPr>
            <sz val="8"/>
            <color indexed="81"/>
            <rFont val="Tahoma"/>
            <family val="2"/>
          </rPr>
          <t xml:space="preserve"> CRC Handbook of Chemistry and physics, 68° ed.- a 10 °C;
 567 a 100 °C</t>
        </r>
        <r>
          <rPr>
            <sz val="8"/>
            <color indexed="81"/>
            <rFont val="Tahoma"/>
            <family val="2"/>
          </rPr>
          <t xml:space="preserve">
</t>
        </r>
      </text>
    </comment>
    <comment ref="D49" authorId="0" shapeId="0">
      <text>
        <r>
          <rPr>
            <b/>
            <sz val="8"/>
            <color indexed="81"/>
            <rFont val="Tahoma"/>
            <family val="2"/>
          </rPr>
          <t>Fonte:</t>
        </r>
        <r>
          <rPr>
            <sz val="8"/>
            <color indexed="81"/>
            <rFont val="Tahoma"/>
            <family val="2"/>
          </rPr>
          <t xml:space="preserve"> CRC Handbook of Chemistry and physics, 68° ed.- a 10 °C;
 567 a 100 °C</t>
        </r>
        <r>
          <rPr>
            <sz val="8"/>
            <color indexed="81"/>
            <rFont val="Tahoma"/>
            <family val="2"/>
          </rPr>
          <t xml:space="preserve">
</t>
        </r>
      </text>
    </comment>
    <comment ref="D50" authorId="0" shapeId="0">
      <text>
        <r>
          <rPr>
            <b/>
            <sz val="8"/>
            <color indexed="81"/>
            <rFont val="Tahoma"/>
            <family val="2"/>
          </rPr>
          <t>Fonte:</t>
        </r>
        <r>
          <rPr>
            <sz val="8"/>
            <color indexed="81"/>
            <rFont val="Tahoma"/>
            <family val="2"/>
          </rPr>
          <t xml:space="preserve"> CRC Handbook of Chemistry and physics, 68° ed.- a 25 °C;</t>
        </r>
        <r>
          <rPr>
            <sz val="8"/>
            <color indexed="81"/>
            <rFont val="Tahoma"/>
            <family val="2"/>
          </rPr>
          <t xml:space="preserve">
</t>
        </r>
      </text>
    </comment>
    <comment ref="D51" authorId="0" shapeId="0">
      <text>
        <r>
          <rPr>
            <b/>
            <sz val="8"/>
            <color indexed="81"/>
            <rFont val="Tahoma"/>
            <family val="2"/>
          </rPr>
          <t>Fonte:</t>
        </r>
        <r>
          <rPr>
            <sz val="8"/>
            <color indexed="81"/>
            <rFont val="Tahoma"/>
            <family val="2"/>
          </rPr>
          <t xml:space="preserve"> CRC Handbook of Chemistry and physics, 68° ed.- a 0 °C; 
8710 a 100 °C</t>
        </r>
        <r>
          <rPr>
            <sz val="8"/>
            <color indexed="81"/>
            <rFont val="Tahoma"/>
            <family val="2"/>
          </rPr>
          <t xml:space="preserve">
</t>
        </r>
      </text>
    </comment>
    <comment ref="D52" authorId="0" shapeId="0">
      <text>
        <r>
          <rPr>
            <b/>
            <sz val="8"/>
            <color indexed="81"/>
            <rFont val="Tahoma"/>
            <family val="2"/>
          </rPr>
          <t>Fonte:</t>
        </r>
        <r>
          <rPr>
            <sz val="8"/>
            <color indexed="81"/>
            <rFont val="Tahoma"/>
            <family val="2"/>
          </rPr>
          <t xml:space="preserve"> CRC Handbook of Chemistry and physics, 68° ed.- a 0 °C;
2600 a 31 °C</t>
        </r>
        <r>
          <rPr>
            <sz val="8"/>
            <color indexed="81"/>
            <rFont val="Tahoma"/>
            <family val="2"/>
          </rPr>
          <t xml:space="preserve">
</t>
        </r>
      </text>
    </comment>
    <comment ref="D53" authorId="0" shapeId="0">
      <text>
        <r>
          <rPr>
            <b/>
            <sz val="8"/>
            <color indexed="81"/>
            <rFont val="Tahoma"/>
            <family val="2"/>
          </rPr>
          <t>Fonte:</t>
        </r>
        <r>
          <rPr>
            <sz val="8"/>
            <color indexed="81"/>
            <rFont val="Tahoma"/>
            <family val="2"/>
          </rPr>
          <t xml:space="preserve"> CRC Handbook of Chemistry and physics, 68° ed.- a 0 °C;
1038 a 100 °C</t>
        </r>
        <r>
          <rPr>
            <sz val="8"/>
            <color indexed="81"/>
            <rFont val="Tahoma"/>
            <family val="2"/>
          </rPr>
          <t xml:space="preserve">
</t>
        </r>
      </text>
    </comment>
    <comment ref="D54" authorId="0" shapeId="0">
      <text>
        <r>
          <rPr>
            <b/>
            <sz val="8"/>
            <color indexed="81"/>
            <rFont val="Tahoma"/>
            <family val="2"/>
          </rPr>
          <t>Fonte:</t>
        </r>
        <r>
          <rPr>
            <sz val="8"/>
            <color indexed="81"/>
            <rFont val="Tahoma"/>
            <family val="2"/>
          </rPr>
          <t xml:space="preserve"> CRC Handbook of Chemistry and physics, 68° ed.- a 0 °C;
758 a 100 °C</t>
        </r>
        <r>
          <rPr>
            <sz val="8"/>
            <color indexed="81"/>
            <rFont val="Tahoma"/>
            <family val="2"/>
          </rPr>
          <t xml:space="preserve">
</t>
        </r>
      </text>
    </comment>
    <comment ref="D55" authorId="0" shapeId="0">
      <text>
        <r>
          <rPr>
            <b/>
            <sz val="8"/>
            <color indexed="81"/>
            <rFont val="Tahoma"/>
            <family val="2"/>
          </rPr>
          <t>Fonte:</t>
        </r>
        <r>
          <rPr>
            <sz val="8"/>
            <color indexed="81"/>
            <rFont val="Tahoma"/>
            <family val="2"/>
          </rPr>
          <t xml:space="preserve"> CRC Handbook of Chemistry and physics, 68° ed.- a 18 °C;
 526.8 a 90 °C</t>
        </r>
        <r>
          <rPr>
            <sz val="8"/>
            <color indexed="81"/>
            <rFont val="Tahoma"/>
            <family val="2"/>
          </rPr>
          <t xml:space="preserve">
</t>
        </r>
      </text>
    </comment>
    <comment ref="D56" authorId="0" shapeId="0">
      <text>
        <r>
          <rPr>
            <b/>
            <sz val="8"/>
            <color indexed="81"/>
            <rFont val="Tahoma"/>
            <family val="2"/>
          </rPr>
          <t>Fonte:</t>
        </r>
        <r>
          <rPr>
            <sz val="8"/>
            <color indexed="81"/>
            <rFont val="Tahoma"/>
            <family val="2"/>
          </rPr>
          <t xml:space="preserve"> CRC Handbook of Chemistry and physics, 68° ed.- a 10 °C;
</t>
        </r>
        <r>
          <rPr>
            <sz val="8"/>
            <color indexed="81"/>
            <rFont val="Tahoma"/>
            <family val="2"/>
          </rPr>
          <t xml:space="preserve">
</t>
        </r>
      </text>
    </comment>
    <comment ref="D57" authorId="0" shapeId="0">
      <text>
        <r>
          <rPr>
            <b/>
            <sz val="8"/>
            <color indexed="81"/>
            <rFont val="Tahoma"/>
            <family val="2"/>
          </rPr>
          <t>Fonte:</t>
        </r>
        <r>
          <rPr>
            <sz val="8"/>
            <color indexed="81"/>
            <rFont val="Tahoma"/>
            <family val="2"/>
          </rPr>
          <t xml:space="preserve"> CRC Handbook of Chemistry and physics, 68° ed.-
a 10 °C;</t>
        </r>
        <r>
          <rPr>
            <sz val="8"/>
            <color indexed="81"/>
            <rFont val="Tahoma"/>
            <family val="2"/>
          </rPr>
          <t xml:space="preserve">
</t>
        </r>
      </text>
    </comment>
    <comment ref="D58" authorId="0" shapeId="0">
      <text>
        <r>
          <rPr>
            <b/>
            <sz val="8"/>
            <color indexed="81"/>
            <rFont val="Tahoma"/>
            <family val="2"/>
          </rPr>
          <t>Fonte:</t>
        </r>
        <r>
          <rPr>
            <sz val="8"/>
            <color indexed="81"/>
            <rFont val="Tahoma"/>
            <family val="2"/>
          </rPr>
          <t xml:space="preserve"> CRC Handbook of Chemistry and physics, 68° ed.-
a 0 °C;
 738 a 100 °C</t>
        </r>
        <r>
          <rPr>
            <sz val="8"/>
            <color indexed="81"/>
            <rFont val="Tahoma"/>
            <family val="2"/>
          </rPr>
          <t xml:space="preserve">
</t>
        </r>
      </text>
    </comment>
    <comment ref="D59" authorId="0" shapeId="0">
      <text>
        <r>
          <rPr>
            <b/>
            <sz val="8"/>
            <color indexed="81"/>
            <rFont val="Tahoma"/>
            <family val="2"/>
          </rPr>
          <t>Fonte:</t>
        </r>
        <r>
          <rPr>
            <sz val="8"/>
            <color indexed="81"/>
            <rFont val="Tahoma"/>
            <family val="2"/>
          </rPr>
          <t xml:space="preserve"> CRC Handbook of Chemistry and physics, 68° ed.
a 20 °C;
727 a 100 °C</t>
        </r>
        <r>
          <rPr>
            <sz val="8"/>
            <color indexed="81"/>
            <rFont val="Tahoma"/>
            <family val="2"/>
          </rPr>
          <t xml:space="preserve">
</t>
        </r>
      </text>
    </comment>
    <comment ref="D60" authorId="0" shapeId="0">
      <text>
        <r>
          <rPr>
            <b/>
            <sz val="8"/>
            <color indexed="81"/>
            <rFont val="Tahoma"/>
            <family val="2"/>
          </rPr>
          <t>Fonte:</t>
        </r>
        <r>
          <rPr>
            <sz val="8"/>
            <color indexed="81"/>
            <rFont val="Tahoma"/>
            <family val="2"/>
          </rPr>
          <t xml:space="preserve"> CRC Handbook of Chemistry and physics, 68° ed.
a 25 °C;
</t>
        </r>
        <r>
          <rPr>
            <sz val="8"/>
            <color indexed="81"/>
            <rFont val="Tahoma"/>
            <family val="2"/>
          </rPr>
          <t xml:space="preserve">
</t>
        </r>
      </text>
    </comment>
    <comment ref="D61" authorId="0" shapeId="0">
      <text>
        <r>
          <rPr>
            <b/>
            <sz val="8"/>
            <color indexed="81"/>
            <rFont val="Tahoma"/>
            <family val="2"/>
          </rPr>
          <t>Fonte:</t>
        </r>
        <r>
          <rPr>
            <sz val="8"/>
            <color indexed="81"/>
            <rFont val="Tahoma"/>
            <family val="2"/>
          </rPr>
          <t xml:space="preserve"> CRC Handbook of Chemistry and physics, 68° ed.
0 °C;
12700 a 100 °C</t>
        </r>
        <r>
          <rPr>
            <sz val="8"/>
            <color indexed="81"/>
            <rFont val="Tahoma"/>
            <family val="2"/>
          </rPr>
          <t xml:space="preserve">
</t>
        </r>
      </text>
    </comment>
    <comment ref="D62" authorId="0" shapeId="0">
      <text>
        <r>
          <rPr>
            <b/>
            <sz val="8"/>
            <color indexed="81"/>
            <rFont val="Tahoma"/>
            <family val="2"/>
          </rPr>
          <t>Fonte:</t>
        </r>
        <r>
          <rPr>
            <sz val="8"/>
            <color indexed="81"/>
            <rFont val="Tahoma"/>
            <family val="2"/>
          </rPr>
          <t xml:space="preserve"> CRC Handbook of Chemistry and physics, 68° ed.- 
a 0 °C;
754 a 100 °C</t>
        </r>
        <r>
          <rPr>
            <sz val="8"/>
            <color indexed="81"/>
            <rFont val="Tahoma"/>
            <family val="2"/>
          </rPr>
          <t xml:space="preserve">
</t>
        </r>
      </text>
    </comment>
    <comment ref="D63" authorId="0" shapeId="0">
      <text>
        <r>
          <rPr>
            <b/>
            <sz val="8"/>
            <color indexed="81"/>
            <rFont val="Tahoma"/>
            <family val="2"/>
          </rPr>
          <t>Fonte:</t>
        </r>
        <r>
          <rPr>
            <sz val="8"/>
            <color indexed="81"/>
            <rFont val="Tahoma"/>
            <family val="2"/>
          </rPr>
          <t xml:space="preserve"> CRC Handbook of Chemistry and physics, 68° ed.- 
a 0 °C;
1079 a 100 °C</t>
        </r>
        <r>
          <rPr>
            <sz val="8"/>
            <color indexed="81"/>
            <rFont val="Tahoma"/>
            <family val="2"/>
          </rPr>
          <t xml:space="preserve">
</t>
        </r>
      </text>
    </comment>
    <comment ref="D64" authorId="0" shapeId="0">
      <text>
        <r>
          <rPr>
            <b/>
            <sz val="8"/>
            <color indexed="81"/>
            <rFont val="Tahoma"/>
            <family val="2"/>
          </rPr>
          <t>Fonte:</t>
        </r>
        <r>
          <rPr>
            <sz val="8"/>
            <color indexed="81"/>
            <rFont val="Tahoma"/>
            <family val="2"/>
          </rPr>
          <t xml:space="preserve"> CRC Handbook of Chemistry and physics, 68° ed.- a 10 °C;
 567 a 100 °C</t>
        </r>
        <r>
          <rPr>
            <sz val="8"/>
            <color indexed="81"/>
            <rFont val="Tahoma"/>
            <family val="2"/>
          </rPr>
          <t xml:space="preserve">
</t>
        </r>
      </text>
    </comment>
    <comment ref="D65" authorId="0" shapeId="0">
      <text>
        <r>
          <rPr>
            <b/>
            <sz val="8"/>
            <color indexed="81"/>
            <rFont val="Tahoma"/>
            <family val="2"/>
          </rPr>
          <t>Fonte:</t>
        </r>
        <r>
          <rPr>
            <sz val="8"/>
            <color indexed="81"/>
            <rFont val="Tahoma"/>
            <family val="2"/>
          </rPr>
          <t xml:space="preserve"> CRC Handbook of Chemistry and physics, 68° ed.-
a 5 °C;
700 a 70 °C</t>
        </r>
        <r>
          <rPr>
            <sz val="8"/>
            <color indexed="81"/>
            <rFont val="Tahoma"/>
            <family val="2"/>
          </rPr>
          <t xml:space="preserve">
</t>
        </r>
      </text>
    </comment>
    <comment ref="D66" authorId="0" shapeId="0">
      <text>
        <r>
          <rPr>
            <b/>
            <sz val="8"/>
            <color indexed="81"/>
            <rFont val="Tahoma"/>
            <family val="2"/>
          </rPr>
          <t>Fonte:</t>
        </r>
        <r>
          <rPr>
            <sz val="8"/>
            <color indexed="81"/>
            <rFont val="Tahoma"/>
            <family val="2"/>
          </rPr>
          <t xml:space="preserve"> CRC Handbook of Chemistry and physics, 68° ed.-
a 8 °C;
 6560 a 100 °C</t>
        </r>
        <r>
          <rPr>
            <sz val="8"/>
            <color indexed="81"/>
            <rFont val="Tahoma"/>
            <family val="2"/>
          </rPr>
          <t xml:space="preserve">
</t>
        </r>
      </text>
    </comment>
    <comment ref="D67" authorId="0" shapeId="0">
      <text>
        <r>
          <rPr>
            <b/>
            <sz val="8"/>
            <color indexed="81"/>
            <rFont val="Tahoma"/>
            <family val="2"/>
          </rPr>
          <t>Fonte:</t>
        </r>
        <r>
          <rPr>
            <sz val="8"/>
            <color indexed="81"/>
            <rFont val="Tahoma"/>
            <family val="2"/>
          </rPr>
          <t xml:space="preserve"> CRC Handbook of Chemistry and physics, 68° ed.-
 a 20 °C;</t>
        </r>
        <r>
          <rPr>
            <sz val="8"/>
            <color indexed="81"/>
            <rFont val="Tahoma"/>
            <family val="2"/>
          </rPr>
          <t xml:space="preserve">
</t>
        </r>
      </text>
    </comment>
    <comment ref="D68" authorId="0" shapeId="0">
      <text>
        <r>
          <rPr>
            <b/>
            <sz val="8"/>
            <color indexed="81"/>
            <rFont val="Tahoma"/>
            <family val="2"/>
          </rPr>
          <t>Fonte:</t>
        </r>
        <r>
          <rPr>
            <sz val="8"/>
            <color indexed="81"/>
            <rFont val="Tahoma"/>
            <family val="2"/>
          </rPr>
          <t xml:space="preserve"> CRC Handbook of Chemistry and physics, 68° ed.- a 10 °C;
 567 a 100 °C</t>
        </r>
        <r>
          <rPr>
            <sz val="8"/>
            <color indexed="81"/>
            <rFont val="Tahoma"/>
            <family val="2"/>
          </rPr>
          <t xml:space="preserve">
</t>
        </r>
      </text>
    </comment>
    <comment ref="D69" authorId="0" shapeId="0">
      <text>
        <r>
          <rPr>
            <b/>
            <sz val="8"/>
            <color indexed="81"/>
            <rFont val="Tahoma"/>
            <family val="2"/>
          </rPr>
          <t>Fonte:</t>
        </r>
        <r>
          <rPr>
            <sz val="8"/>
            <color indexed="81"/>
            <rFont val="Tahoma"/>
            <family val="2"/>
          </rPr>
          <t xml:space="preserve"> CRC Handbook of Chemistry and physics, 68° ed.
 a 20 °C;
 6636 a 100 °C</t>
        </r>
        <r>
          <rPr>
            <sz val="8"/>
            <color indexed="81"/>
            <rFont val="Tahoma"/>
            <family val="2"/>
          </rPr>
          <t xml:space="preserve">
</t>
        </r>
      </text>
    </comment>
    <comment ref="D70" authorId="0" shapeId="0">
      <text>
        <r>
          <rPr>
            <b/>
            <sz val="8"/>
            <color indexed="81"/>
            <rFont val="Tahoma"/>
            <family val="2"/>
          </rPr>
          <t>Fonte:</t>
        </r>
        <r>
          <rPr>
            <sz val="8"/>
            <color indexed="81"/>
            <rFont val="Tahoma"/>
            <family val="2"/>
          </rPr>
          <t xml:space="preserve"> CRC Handbook of Chemistry and physics, 68° ed.
 a 25 °C;
 6150 a 100 °C</t>
        </r>
        <r>
          <rPr>
            <sz val="8"/>
            <color indexed="81"/>
            <rFont val="Tahoma"/>
            <family val="2"/>
          </rPr>
          <t xml:space="preserve">
</t>
        </r>
      </text>
    </comment>
  </commentList>
</comments>
</file>

<file path=xl/sharedStrings.xml><?xml version="1.0" encoding="utf-8"?>
<sst xmlns="http://schemas.openxmlformats.org/spreadsheetml/2006/main" count="841" uniqueCount="362">
  <si>
    <t>K:</t>
  </si>
  <si>
    <t>Ca:</t>
  </si>
  <si>
    <t>N/K</t>
  </si>
  <si>
    <t>K:Ca: Mg</t>
  </si>
  <si>
    <t>N-NO3</t>
  </si>
  <si>
    <t>N-NH4</t>
  </si>
  <si>
    <t>P</t>
  </si>
  <si>
    <t>K</t>
  </si>
  <si>
    <t>Ca</t>
  </si>
  <si>
    <t>Mg</t>
  </si>
  <si>
    <t>Na</t>
  </si>
  <si>
    <t>S-SO4</t>
  </si>
  <si>
    <t>Cl</t>
  </si>
  <si>
    <t>Fe</t>
  </si>
  <si>
    <t>B</t>
  </si>
  <si>
    <t>Cu</t>
  </si>
  <si>
    <t>Zn</t>
  </si>
  <si>
    <t>Mn</t>
  </si>
  <si>
    <t>Mo</t>
  </si>
  <si>
    <t>EC (mS/cm)</t>
  </si>
  <si>
    <t>% CaO</t>
  </si>
  <si>
    <t>% MgO</t>
  </si>
  <si>
    <t xml:space="preserve"> % Na</t>
  </si>
  <si>
    <t>% Cl</t>
  </si>
  <si>
    <t xml:space="preserve"> % Fe</t>
  </si>
  <si>
    <t>(NH4)6Mo7O24*4H2O</t>
  </si>
  <si>
    <t>CaSO4=s2</t>
  </si>
  <si>
    <t>% B</t>
  </si>
  <si>
    <t>% Cu</t>
  </si>
  <si>
    <t>% Zn</t>
  </si>
  <si>
    <t>% Mn</t>
  </si>
  <si>
    <t>% Mo</t>
  </si>
  <si>
    <t>Acidi per la neutralizzazione</t>
  </si>
  <si>
    <t>Idrosolubili complessi</t>
  </si>
  <si>
    <t>Sali contenenti calcio</t>
  </si>
  <si>
    <t>Sali contenenti Ammonio</t>
  </si>
  <si>
    <t>Sali contenenti Fosforo</t>
  </si>
  <si>
    <t>HCl</t>
  </si>
  <si>
    <t>(Kg/L)</t>
  </si>
  <si>
    <t>% p/p</t>
  </si>
  <si>
    <t xml:space="preserve"> </t>
  </si>
  <si>
    <t>Sali contenenti Magnesio</t>
  </si>
  <si>
    <t>Sali contenenti Potassio</t>
  </si>
  <si>
    <t>Sali contenenti Ferro</t>
  </si>
  <si>
    <t>Sali contenenti microelementi</t>
  </si>
  <si>
    <t>Tabella dei coefficienti moltiplicatori relativi ai contenuti dei vari elementi nei concimi e acidi</t>
  </si>
  <si>
    <t>KCl</t>
  </si>
  <si>
    <t>Gerbera</t>
  </si>
  <si>
    <t>Euro/Kg</t>
  </si>
  <si>
    <t>Euro</t>
  </si>
  <si>
    <t>1:</t>
  </si>
  <si>
    <t>Kg</t>
  </si>
  <si>
    <t>Stadio fenologico:</t>
  </si>
  <si>
    <t>Euro/L</t>
  </si>
  <si>
    <t>?</t>
  </si>
  <si>
    <t>NaCl</t>
  </si>
  <si>
    <t xml:space="preserve">Coltura: </t>
  </si>
  <si>
    <t xml:space="preserve">Test </t>
  </si>
  <si>
    <t>HCO3-</t>
  </si>
  <si>
    <t>P-PO4</t>
  </si>
  <si>
    <t>Hoagland &amp; Arnon</t>
  </si>
  <si>
    <t>Somma cationi acqua irrigua</t>
  </si>
  <si>
    <t>Somma anioni acqua irrigua</t>
  </si>
  <si>
    <t>Coltura Stadio: Stadio</t>
  </si>
  <si>
    <t>N</t>
  </si>
  <si>
    <t>g/L</t>
  </si>
  <si>
    <t>CaSO4</t>
  </si>
  <si>
    <t>A=</t>
  </si>
  <si>
    <t>B=</t>
  </si>
  <si>
    <t>mg/L</t>
  </si>
  <si>
    <t>ppm</t>
  </si>
  <si>
    <t>Kps</t>
  </si>
  <si>
    <t>ml/L</t>
  </si>
  <si>
    <t>Quick start guide</t>
  </si>
  <si>
    <t>EC (dS/m)</t>
  </si>
  <si>
    <t>millimoles/L</t>
  </si>
  <si>
    <t>micromoles/L</t>
  </si>
  <si>
    <t>Electro-chemical neutrality test</t>
  </si>
  <si>
    <t>Acids for carbonate neutralization</t>
  </si>
  <si>
    <t>Phosphoric acid</t>
  </si>
  <si>
    <t>Nitric acid</t>
  </si>
  <si>
    <t>Sulphuric acid</t>
  </si>
  <si>
    <t>Chloridric acid</t>
  </si>
  <si>
    <t>Water Soluble Fertilizer  1</t>
  </si>
  <si>
    <t>Water Soluble Fertilizer 2</t>
  </si>
  <si>
    <t>Water Soluble Fertilizer 3</t>
  </si>
  <si>
    <t>Calcium fertilizers</t>
  </si>
  <si>
    <t>Ammonium fertilizers</t>
  </si>
  <si>
    <t xml:space="preserve">Phosphorus fertilizers </t>
  </si>
  <si>
    <t>Magnesium fertilizers</t>
  </si>
  <si>
    <t>Potassium fertilizers</t>
  </si>
  <si>
    <t>Iron chelates</t>
  </si>
  <si>
    <t>Microelement fertilizers</t>
  </si>
  <si>
    <t xml:space="preserve">Calcium nitrate </t>
  </si>
  <si>
    <t xml:space="preserve">Calcium nitrate reagent pure </t>
  </si>
  <si>
    <t>Calcium chloride</t>
  </si>
  <si>
    <t>Ammonium nitrate</t>
  </si>
  <si>
    <t>Ammonium sulphate</t>
  </si>
  <si>
    <t>Mono-ammonium phosphate</t>
  </si>
  <si>
    <t>Mono-potassium phosphate</t>
  </si>
  <si>
    <t>Magnesium sulphate</t>
  </si>
  <si>
    <t>Magnesium nitrate</t>
  </si>
  <si>
    <t>Potassium nitrate</t>
  </si>
  <si>
    <t xml:space="preserve">Potassium sulphate </t>
  </si>
  <si>
    <t>Potassium chloride</t>
  </si>
  <si>
    <t>Boric acid</t>
  </si>
  <si>
    <t>Borax</t>
  </si>
  <si>
    <t>Copper sulphate</t>
  </si>
  <si>
    <t>Copper  chelate (EDTA)</t>
  </si>
  <si>
    <t>Zinc sulphate</t>
  </si>
  <si>
    <t>Zinc chelate (EDTA)</t>
  </si>
  <si>
    <t>Manganese sulphate</t>
  </si>
  <si>
    <t>Manganese chelate</t>
  </si>
  <si>
    <t>Ammonium heptamolybdate</t>
  </si>
  <si>
    <t>Sodium molybdate</t>
  </si>
  <si>
    <t>Sodium salts</t>
  </si>
  <si>
    <t>Sodium choride</t>
  </si>
  <si>
    <t>Crop</t>
  </si>
  <si>
    <t>Stage</t>
  </si>
  <si>
    <t>Cucumber</t>
  </si>
  <si>
    <t>Single</t>
  </si>
  <si>
    <t>Universal (1938)</t>
  </si>
  <si>
    <t>zzRecipe</t>
  </si>
  <si>
    <t>: inserted values</t>
  </si>
  <si>
    <t>Bean</t>
  </si>
  <si>
    <t>Strawberry</t>
  </si>
  <si>
    <t>Carnation</t>
  </si>
  <si>
    <t>Aubergine</t>
  </si>
  <si>
    <t>Muskmelon</t>
  </si>
  <si>
    <t>Leafy vegetable</t>
  </si>
  <si>
    <t>Fruit vegetable</t>
  </si>
  <si>
    <t>Leafy cut vegetable</t>
  </si>
  <si>
    <t>Pepper</t>
  </si>
  <si>
    <t>Ornamental outdoor plant</t>
  </si>
  <si>
    <t>Tomato</t>
  </si>
  <si>
    <t>Rose</t>
  </si>
  <si>
    <t>Squash</t>
  </si>
  <si>
    <t>Unit</t>
  </si>
  <si>
    <t>Advice</t>
  </si>
  <si>
    <t>IRRIGATION WATER (mmol/L)</t>
  </si>
  <si>
    <t>RECIPE (mmol/L)</t>
  </si>
  <si>
    <t>NUTRIENT SOLUTION (mmol/L)</t>
  </si>
  <si>
    <t>DIFFERENCE (mmol/L)</t>
  </si>
  <si>
    <t>Crop and stage</t>
  </si>
  <si>
    <t>Volume of stock nutrient solution tanks (L)</t>
  </si>
  <si>
    <t>Set-point pH:</t>
  </si>
  <si>
    <t>Target EC  (dS/m):</t>
  </si>
  <si>
    <t>Expected EC (dS/m)</t>
  </si>
  <si>
    <t>Irrigation water</t>
  </si>
  <si>
    <t>Amount of fertilizers to dissolve in the stock nutrient solution tanks.</t>
  </si>
  <si>
    <t>Stock A:</t>
  </si>
  <si>
    <t>Stock B:</t>
  </si>
  <si>
    <t>NUTRIENT SOLUTION COMPOSITION</t>
  </si>
  <si>
    <t>Molar ratios</t>
  </si>
  <si>
    <t>g</t>
  </si>
  <si>
    <t>L</t>
  </si>
  <si>
    <t>STOCK NS PRECIPITATION TEST</t>
  </si>
  <si>
    <t>Stock nutrient solution tank A (g/L)</t>
  </si>
  <si>
    <t>Stock nutrient solution tank B (g/L)</t>
  </si>
  <si>
    <t>moles/L</t>
  </si>
  <si>
    <t>m.w.</t>
  </si>
  <si>
    <t>Check precipitates in  Stock A</t>
  </si>
  <si>
    <t>Solubility</t>
  </si>
  <si>
    <t>Check precipitates in  Stock B</t>
  </si>
  <si>
    <t>There are</t>
  </si>
  <si>
    <t>precipitated salts</t>
  </si>
  <si>
    <t xml:space="preserve"> STOCK NS PRECIPITATION TEST</t>
  </si>
  <si>
    <t>Stock NS precipitation test</t>
  </si>
  <si>
    <t>Unit converter (ppm&gt; mM)</t>
  </si>
  <si>
    <t>Unit converter  (ppm&gt; mM)</t>
  </si>
  <si>
    <t xml:space="preserve">Unit converter   (ppm to mM) </t>
  </si>
  <si>
    <t>Unit converter  ppm&gt; mM</t>
  </si>
  <si>
    <t>Inputs</t>
  </si>
  <si>
    <r>
      <t>HCO</t>
    </r>
    <r>
      <rPr>
        <b/>
        <vertAlign val="subscript"/>
        <sz val="10"/>
        <rFont val="Arial"/>
        <family val="2"/>
      </rPr>
      <t>3</t>
    </r>
    <r>
      <rPr>
        <b/>
        <vertAlign val="superscript"/>
        <sz val="10"/>
        <rFont val="Arial"/>
        <family val="2"/>
      </rPr>
      <t>-</t>
    </r>
  </si>
  <si>
    <r>
      <t>N-NO</t>
    </r>
    <r>
      <rPr>
        <b/>
        <vertAlign val="subscript"/>
        <sz val="12"/>
        <rFont val="Arial"/>
        <family val="2"/>
      </rPr>
      <t>3</t>
    </r>
  </si>
  <si>
    <r>
      <t>N-NH</t>
    </r>
    <r>
      <rPr>
        <b/>
        <vertAlign val="subscript"/>
        <sz val="11"/>
        <rFont val="Arial"/>
        <family val="2"/>
      </rPr>
      <t>4</t>
    </r>
  </si>
  <si>
    <r>
      <t>P-PO</t>
    </r>
    <r>
      <rPr>
        <b/>
        <vertAlign val="subscript"/>
        <sz val="11"/>
        <rFont val="Arial"/>
        <family val="2"/>
      </rPr>
      <t>4</t>
    </r>
  </si>
  <si>
    <r>
      <t>S-SO</t>
    </r>
    <r>
      <rPr>
        <b/>
        <vertAlign val="subscript"/>
        <sz val="10"/>
        <rFont val="Arial"/>
        <family val="2"/>
      </rPr>
      <t>4</t>
    </r>
  </si>
  <si>
    <t>Calculated</t>
  </si>
  <si>
    <t>pH</t>
  </si>
  <si>
    <t>2) Fertigation device parameters</t>
  </si>
  <si>
    <t>Recipes</t>
  </si>
  <si>
    <t>Fertilizers and acids</t>
  </si>
  <si>
    <t>Report</t>
  </si>
  <si>
    <t>Calculation</t>
  </si>
  <si>
    <t>Input</t>
  </si>
  <si>
    <t>Water quality evaluation</t>
  </si>
  <si>
    <t>Target EC (dS/m)</t>
  </si>
  <si>
    <t>4) Actual  nutrient solution</t>
  </si>
  <si>
    <t>1) Insert ion composition of irrigation water (mM for  macronutrients and  uM for  micronutrients)</t>
  </si>
  <si>
    <t>3)Select recipe</t>
  </si>
  <si>
    <r>
      <t>%N-NO</t>
    </r>
    <r>
      <rPr>
        <b/>
        <vertAlign val="subscript"/>
        <sz val="11"/>
        <rFont val="Arial"/>
        <family val="2"/>
      </rPr>
      <t>3</t>
    </r>
  </si>
  <si>
    <r>
      <t>%N-NH</t>
    </r>
    <r>
      <rPr>
        <b/>
        <vertAlign val="subscript"/>
        <sz val="11"/>
        <rFont val="Arial"/>
        <family val="2"/>
      </rPr>
      <t>4</t>
    </r>
  </si>
  <si>
    <r>
      <t>% P</t>
    </r>
    <r>
      <rPr>
        <b/>
        <vertAlign val="subscript"/>
        <sz val="12"/>
        <rFont val="Arial"/>
        <family val="2"/>
      </rPr>
      <t>2</t>
    </r>
    <r>
      <rPr>
        <b/>
        <sz val="12"/>
        <rFont val="Arial"/>
        <family val="2"/>
      </rPr>
      <t>O</t>
    </r>
    <r>
      <rPr>
        <b/>
        <vertAlign val="subscript"/>
        <sz val="12"/>
        <rFont val="Arial"/>
        <family val="2"/>
      </rPr>
      <t>5</t>
    </r>
  </si>
  <si>
    <r>
      <t>% K</t>
    </r>
    <r>
      <rPr>
        <b/>
        <vertAlign val="subscript"/>
        <sz val="9"/>
        <rFont val="Arial"/>
        <family val="2"/>
      </rPr>
      <t>2</t>
    </r>
    <r>
      <rPr>
        <b/>
        <sz val="12"/>
        <rFont val="Arial"/>
        <family val="2"/>
      </rPr>
      <t>O</t>
    </r>
  </si>
  <si>
    <r>
      <t>% SO</t>
    </r>
    <r>
      <rPr>
        <b/>
        <vertAlign val="subscript"/>
        <sz val="9"/>
        <rFont val="Arial"/>
        <family val="2"/>
      </rPr>
      <t>3</t>
    </r>
  </si>
  <si>
    <r>
      <t>HNO</t>
    </r>
    <r>
      <rPr>
        <vertAlign val="subscript"/>
        <sz val="12"/>
        <rFont val="Arial"/>
        <family val="2"/>
      </rPr>
      <t>3</t>
    </r>
  </si>
  <si>
    <r>
      <t>H</t>
    </r>
    <r>
      <rPr>
        <vertAlign val="subscript"/>
        <sz val="12"/>
        <rFont val="Arial"/>
        <family val="2"/>
      </rPr>
      <t>3</t>
    </r>
    <r>
      <rPr>
        <sz val="12"/>
        <rFont val="Arial"/>
        <family val="2"/>
      </rPr>
      <t>PO</t>
    </r>
    <r>
      <rPr>
        <vertAlign val="subscript"/>
        <sz val="12"/>
        <rFont val="Arial"/>
        <family val="2"/>
      </rPr>
      <t>4</t>
    </r>
  </si>
  <si>
    <r>
      <t>H</t>
    </r>
    <r>
      <rPr>
        <vertAlign val="subscript"/>
        <sz val="12"/>
        <rFont val="Arial"/>
        <family val="2"/>
      </rPr>
      <t>2</t>
    </r>
    <r>
      <rPr>
        <sz val="12"/>
        <rFont val="Arial"/>
        <family val="2"/>
      </rPr>
      <t>SO</t>
    </r>
    <r>
      <rPr>
        <vertAlign val="subscript"/>
        <sz val="12"/>
        <rFont val="Arial"/>
        <family val="2"/>
      </rPr>
      <t>4</t>
    </r>
  </si>
  <si>
    <r>
      <t>5[Ca(NO</t>
    </r>
    <r>
      <rPr>
        <vertAlign val="subscript"/>
        <sz val="11"/>
        <rFont val="Arial"/>
        <family val="2"/>
      </rPr>
      <t>3</t>
    </r>
    <r>
      <rPr>
        <sz val="11"/>
        <rFont val="Arial"/>
        <family val="2"/>
      </rPr>
      <t>)</t>
    </r>
    <r>
      <rPr>
        <vertAlign val="subscript"/>
        <sz val="11"/>
        <rFont val="Arial"/>
        <family val="2"/>
      </rPr>
      <t>2</t>
    </r>
    <r>
      <rPr>
        <sz val="11"/>
        <rFont val="Arial"/>
        <family val="2"/>
      </rPr>
      <t>*2H</t>
    </r>
    <r>
      <rPr>
        <vertAlign val="subscript"/>
        <sz val="11"/>
        <rFont val="Arial"/>
        <family val="2"/>
      </rPr>
      <t>2</t>
    </r>
    <r>
      <rPr>
        <sz val="11"/>
        <rFont val="Arial"/>
        <family val="2"/>
      </rPr>
      <t>O]NH</t>
    </r>
    <r>
      <rPr>
        <vertAlign val="subscript"/>
        <sz val="11"/>
        <rFont val="Arial"/>
        <family val="2"/>
      </rPr>
      <t>4</t>
    </r>
    <r>
      <rPr>
        <sz val="11"/>
        <rFont val="Arial"/>
        <family val="2"/>
      </rPr>
      <t>NO</t>
    </r>
    <r>
      <rPr>
        <vertAlign val="subscript"/>
        <sz val="11"/>
        <rFont val="Arial"/>
        <family val="2"/>
      </rPr>
      <t>3</t>
    </r>
  </si>
  <si>
    <r>
      <t>Ca(NO</t>
    </r>
    <r>
      <rPr>
        <vertAlign val="subscript"/>
        <sz val="12"/>
        <rFont val="Arial"/>
        <family val="2"/>
      </rPr>
      <t>3</t>
    </r>
    <r>
      <rPr>
        <sz val="12"/>
        <rFont val="Arial"/>
        <family val="2"/>
      </rPr>
      <t>)</t>
    </r>
    <r>
      <rPr>
        <vertAlign val="subscript"/>
        <sz val="12"/>
        <rFont val="Arial"/>
        <family val="2"/>
      </rPr>
      <t>2</t>
    </r>
    <r>
      <rPr>
        <sz val="12"/>
        <rFont val="Arial"/>
        <family val="2"/>
      </rPr>
      <t>*4H</t>
    </r>
    <r>
      <rPr>
        <vertAlign val="subscript"/>
        <sz val="12"/>
        <rFont val="Arial"/>
        <family val="2"/>
      </rPr>
      <t>2</t>
    </r>
    <r>
      <rPr>
        <sz val="12"/>
        <rFont val="Arial"/>
        <family val="2"/>
      </rPr>
      <t>O</t>
    </r>
  </si>
  <si>
    <r>
      <t>CaCl</t>
    </r>
    <r>
      <rPr>
        <vertAlign val="subscript"/>
        <sz val="11"/>
        <rFont val="Arial"/>
        <family val="2"/>
      </rPr>
      <t>2</t>
    </r>
  </si>
  <si>
    <r>
      <t>NH</t>
    </r>
    <r>
      <rPr>
        <vertAlign val="subscript"/>
        <sz val="12"/>
        <rFont val="Arial"/>
        <family val="2"/>
      </rPr>
      <t>4</t>
    </r>
    <r>
      <rPr>
        <sz val="12"/>
        <rFont val="Arial"/>
        <family val="2"/>
      </rPr>
      <t>NO</t>
    </r>
    <r>
      <rPr>
        <vertAlign val="subscript"/>
        <sz val="12"/>
        <rFont val="Arial"/>
        <family val="2"/>
      </rPr>
      <t>3</t>
    </r>
  </si>
  <si>
    <r>
      <t>(NH</t>
    </r>
    <r>
      <rPr>
        <vertAlign val="subscript"/>
        <sz val="12"/>
        <rFont val="Arial"/>
        <family val="2"/>
      </rPr>
      <t>4</t>
    </r>
    <r>
      <rPr>
        <sz val="12"/>
        <rFont val="Arial"/>
        <family val="2"/>
      </rPr>
      <t>)</t>
    </r>
    <r>
      <rPr>
        <vertAlign val="subscript"/>
        <sz val="12"/>
        <rFont val="Arial"/>
        <family val="2"/>
      </rPr>
      <t>2</t>
    </r>
    <r>
      <rPr>
        <sz val="12"/>
        <rFont val="Arial"/>
        <family val="2"/>
      </rPr>
      <t>SO</t>
    </r>
    <r>
      <rPr>
        <vertAlign val="subscript"/>
        <sz val="12"/>
        <rFont val="Arial"/>
        <family val="2"/>
      </rPr>
      <t>4</t>
    </r>
  </si>
  <si>
    <r>
      <t>NH</t>
    </r>
    <r>
      <rPr>
        <vertAlign val="subscript"/>
        <sz val="12"/>
        <rFont val="Arial"/>
        <family val="2"/>
      </rPr>
      <t>4</t>
    </r>
    <r>
      <rPr>
        <sz val="12"/>
        <rFont val="Arial"/>
        <family val="2"/>
      </rPr>
      <t>H</t>
    </r>
    <r>
      <rPr>
        <vertAlign val="subscript"/>
        <sz val="12"/>
        <rFont val="Arial"/>
        <family val="2"/>
      </rPr>
      <t>2</t>
    </r>
    <r>
      <rPr>
        <sz val="12"/>
        <rFont val="Arial"/>
        <family val="2"/>
      </rPr>
      <t>PO</t>
    </r>
    <r>
      <rPr>
        <vertAlign val="subscript"/>
        <sz val="12"/>
        <rFont val="Arial"/>
        <family val="2"/>
      </rPr>
      <t>4</t>
    </r>
  </si>
  <si>
    <r>
      <t>KH</t>
    </r>
    <r>
      <rPr>
        <vertAlign val="subscript"/>
        <sz val="12"/>
        <rFont val="Arial"/>
        <family val="2"/>
      </rPr>
      <t>2</t>
    </r>
    <r>
      <rPr>
        <sz val="12"/>
        <rFont val="Arial"/>
        <family val="2"/>
      </rPr>
      <t>PO</t>
    </r>
    <r>
      <rPr>
        <vertAlign val="subscript"/>
        <sz val="12"/>
        <rFont val="Arial"/>
        <family val="2"/>
      </rPr>
      <t>4</t>
    </r>
  </si>
  <si>
    <r>
      <t>MgSO</t>
    </r>
    <r>
      <rPr>
        <vertAlign val="subscript"/>
        <sz val="12"/>
        <rFont val="Arial"/>
        <family val="2"/>
      </rPr>
      <t>4</t>
    </r>
    <r>
      <rPr>
        <sz val="12"/>
        <rFont val="Arial"/>
        <family val="2"/>
      </rPr>
      <t>*7H</t>
    </r>
    <r>
      <rPr>
        <vertAlign val="subscript"/>
        <sz val="12"/>
        <rFont val="Arial"/>
        <family val="2"/>
      </rPr>
      <t>2</t>
    </r>
    <r>
      <rPr>
        <sz val="12"/>
        <rFont val="Arial"/>
        <family val="2"/>
      </rPr>
      <t>O</t>
    </r>
  </si>
  <si>
    <r>
      <t>Mg(NO</t>
    </r>
    <r>
      <rPr>
        <vertAlign val="subscript"/>
        <sz val="12"/>
        <rFont val="Arial"/>
        <family val="2"/>
      </rPr>
      <t>3</t>
    </r>
    <r>
      <rPr>
        <sz val="12"/>
        <rFont val="Arial"/>
        <family val="2"/>
      </rPr>
      <t>)</t>
    </r>
    <r>
      <rPr>
        <vertAlign val="subscript"/>
        <sz val="12"/>
        <rFont val="Arial"/>
        <family val="2"/>
      </rPr>
      <t>2</t>
    </r>
    <r>
      <rPr>
        <sz val="12"/>
        <rFont val="Arial"/>
        <family val="2"/>
      </rPr>
      <t>*6H</t>
    </r>
    <r>
      <rPr>
        <vertAlign val="subscript"/>
        <sz val="12"/>
        <rFont val="Arial"/>
        <family val="2"/>
      </rPr>
      <t>2</t>
    </r>
    <r>
      <rPr>
        <sz val="12"/>
        <rFont val="Arial"/>
        <family val="2"/>
      </rPr>
      <t>O</t>
    </r>
  </si>
  <si>
    <r>
      <t>KNO</t>
    </r>
    <r>
      <rPr>
        <vertAlign val="subscript"/>
        <sz val="12"/>
        <rFont val="Arial"/>
        <family val="2"/>
      </rPr>
      <t>3</t>
    </r>
  </si>
  <si>
    <r>
      <t>K</t>
    </r>
    <r>
      <rPr>
        <vertAlign val="subscript"/>
        <sz val="12"/>
        <rFont val="Arial"/>
        <family val="2"/>
      </rPr>
      <t>2</t>
    </r>
    <r>
      <rPr>
        <sz val="12"/>
        <rFont val="Arial"/>
        <family val="2"/>
      </rPr>
      <t>SO</t>
    </r>
    <r>
      <rPr>
        <vertAlign val="subscript"/>
        <sz val="12"/>
        <rFont val="Arial"/>
        <family val="2"/>
      </rPr>
      <t>4</t>
    </r>
  </si>
  <si>
    <r>
      <t>Na</t>
    </r>
    <r>
      <rPr>
        <vertAlign val="subscript"/>
        <sz val="12"/>
        <rFont val="Arial"/>
        <family val="2"/>
      </rPr>
      <t>2</t>
    </r>
    <r>
      <rPr>
        <sz val="12"/>
        <rFont val="Arial"/>
        <family val="2"/>
      </rPr>
      <t>B</t>
    </r>
    <r>
      <rPr>
        <vertAlign val="subscript"/>
        <sz val="12"/>
        <rFont val="Arial"/>
        <family val="2"/>
      </rPr>
      <t>4</t>
    </r>
    <r>
      <rPr>
        <sz val="12"/>
        <rFont val="Arial"/>
        <family val="2"/>
      </rPr>
      <t>O</t>
    </r>
    <r>
      <rPr>
        <vertAlign val="subscript"/>
        <sz val="12"/>
        <rFont val="Arial"/>
        <family val="2"/>
      </rPr>
      <t>7</t>
    </r>
    <r>
      <rPr>
        <sz val="12"/>
        <rFont val="Arial"/>
        <family val="2"/>
      </rPr>
      <t>*10H</t>
    </r>
    <r>
      <rPr>
        <vertAlign val="subscript"/>
        <sz val="12"/>
        <rFont val="Arial"/>
        <family val="2"/>
      </rPr>
      <t>2</t>
    </r>
    <r>
      <rPr>
        <sz val="12"/>
        <rFont val="Arial"/>
        <family val="2"/>
      </rPr>
      <t>O</t>
    </r>
  </si>
  <si>
    <r>
      <t>H</t>
    </r>
    <r>
      <rPr>
        <vertAlign val="subscript"/>
        <sz val="12"/>
        <rFont val="Arial"/>
        <family val="2"/>
      </rPr>
      <t>3</t>
    </r>
    <r>
      <rPr>
        <sz val="12"/>
        <rFont val="Arial"/>
        <family val="2"/>
      </rPr>
      <t>BO</t>
    </r>
    <r>
      <rPr>
        <vertAlign val="subscript"/>
        <sz val="12"/>
        <rFont val="Arial"/>
        <family val="2"/>
      </rPr>
      <t>3</t>
    </r>
  </si>
  <si>
    <r>
      <t>CuSO</t>
    </r>
    <r>
      <rPr>
        <vertAlign val="subscript"/>
        <sz val="12"/>
        <rFont val="Arial"/>
        <family val="2"/>
      </rPr>
      <t>4</t>
    </r>
    <r>
      <rPr>
        <sz val="12"/>
        <rFont val="Arial"/>
        <family val="2"/>
      </rPr>
      <t>*5H</t>
    </r>
    <r>
      <rPr>
        <vertAlign val="subscript"/>
        <sz val="12"/>
        <rFont val="Arial"/>
        <family val="2"/>
      </rPr>
      <t>2</t>
    </r>
    <r>
      <rPr>
        <sz val="12"/>
        <rFont val="Arial"/>
        <family val="2"/>
      </rPr>
      <t>O</t>
    </r>
  </si>
  <si>
    <r>
      <t>ZnSO</t>
    </r>
    <r>
      <rPr>
        <vertAlign val="subscript"/>
        <sz val="12"/>
        <rFont val="Arial"/>
        <family val="2"/>
      </rPr>
      <t>4</t>
    </r>
    <r>
      <rPr>
        <sz val="12"/>
        <rFont val="Arial"/>
        <family val="2"/>
      </rPr>
      <t>*7H</t>
    </r>
    <r>
      <rPr>
        <vertAlign val="subscript"/>
        <sz val="12"/>
        <rFont val="Arial"/>
        <family val="2"/>
      </rPr>
      <t>2</t>
    </r>
    <r>
      <rPr>
        <sz val="12"/>
        <rFont val="Arial"/>
        <family val="2"/>
      </rPr>
      <t>O</t>
    </r>
  </si>
  <si>
    <r>
      <t>MnSO</t>
    </r>
    <r>
      <rPr>
        <vertAlign val="subscript"/>
        <sz val="12"/>
        <rFont val="Arial"/>
        <family val="2"/>
      </rPr>
      <t>4</t>
    </r>
    <r>
      <rPr>
        <sz val="12"/>
        <rFont val="Arial"/>
        <family val="2"/>
      </rPr>
      <t>*H</t>
    </r>
    <r>
      <rPr>
        <vertAlign val="subscript"/>
        <sz val="12"/>
        <rFont val="Arial"/>
        <family val="2"/>
      </rPr>
      <t>2</t>
    </r>
    <r>
      <rPr>
        <sz val="12"/>
        <rFont val="Arial"/>
        <family val="2"/>
      </rPr>
      <t>O</t>
    </r>
  </si>
  <si>
    <r>
      <t>(NH</t>
    </r>
    <r>
      <rPr>
        <vertAlign val="subscript"/>
        <sz val="12"/>
        <rFont val="Arial"/>
        <family val="2"/>
      </rPr>
      <t>4</t>
    </r>
    <r>
      <rPr>
        <sz val="12"/>
        <rFont val="Arial"/>
        <family val="2"/>
      </rPr>
      <t>)</t>
    </r>
    <r>
      <rPr>
        <vertAlign val="subscript"/>
        <sz val="12"/>
        <rFont val="Arial"/>
        <family val="2"/>
      </rPr>
      <t>6</t>
    </r>
    <r>
      <rPr>
        <sz val="12"/>
        <rFont val="Arial"/>
        <family val="2"/>
      </rPr>
      <t>Mo</t>
    </r>
    <r>
      <rPr>
        <vertAlign val="subscript"/>
        <sz val="12"/>
        <rFont val="Arial"/>
        <family val="2"/>
      </rPr>
      <t>7</t>
    </r>
    <r>
      <rPr>
        <sz val="12"/>
        <rFont val="Arial"/>
        <family val="2"/>
      </rPr>
      <t>O</t>
    </r>
    <r>
      <rPr>
        <vertAlign val="subscript"/>
        <sz val="12"/>
        <rFont val="Arial"/>
        <family val="2"/>
      </rPr>
      <t>24</t>
    </r>
    <r>
      <rPr>
        <sz val="12"/>
        <rFont val="Arial"/>
        <family val="2"/>
      </rPr>
      <t>*4H</t>
    </r>
    <r>
      <rPr>
        <vertAlign val="subscript"/>
        <sz val="12"/>
        <rFont val="Arial"/>
        <family val="2"/>
      </rPr>
      <t>2</t>
    </r>
    <r>
      <rPr>
        <sz val="12"/>
        <rFont val="Arial"/>
        <family val="2"/>
      </rPr>
      <t>O</t>
    </r>
  </si>
  <si>
    <r>
      <t>Na</t>
    </r>
    <r>
      <rPr>
        <vertAlign val="subscript"/>
        <sz val="12"/>
        <rFont val="Arial"/>
        <family val="2"/>
      </rPr>
      <t>2</t>
    </r>
    <r>
      <rPr>
        <sz val="12"/>
        <rFont val="Arial"/>
        <family val="2"/>
      </rPr>
      <t>MoO</t>
    </r>
    <r>
      <rPr>
        <vertAlign val="subscript"/>
        <sz val="12"/>
        <rFont val="Arial"/>
        <family val="2"/>
      </rPr>
      <t>4</t>
    </r>
    <r>
      <rPr>
        <sz val="12"/>
        <rFont val="Arial"/>
        <family val="2"/>
      </rPr>
      <t>*2H</t>
    </r>
    <r>
      <rPr>
        <vertAlign val="subscript"/>
        <sz val="12"/>
        <rFont val="Arial"/>
        <family val="2"/>
      </rPr>
      <t>2</t>
    </r>
    <r>
      <rPr>
        <sz val="12"/>
        <rFont val="Arial"/>
        <family val="2"/>
      </rPr>
      <t>O</t>
    </r>
  </si>
  <si>
    <r>
      <t xml:space="preserve">EC </t>
    </r>
    <r>
      <rPr>
        <sz val="7"/>
        <rFont val="Arial"/>
        <family val="2"/>
      </rPr>
      <t>(dS/m)</t>
    </r>
  </si>
  <si>
    <r>
      <t>N-NO</t>
    </r>
    <r>
      <rPr>
        <b/>
        <vertAlign val="subscript"/>
        <sz val="9"/>
        <rFont val="Arial"/>
        <family val="2"/>
      </rPr>
      <t>3</t>
    </r>
  </si>
  <si>
    <r>
      <t>N-NH</t>
    </r>
    <r>
      <rPr>
        <b/>
        <vertAlign val="subscript"/>
        <sz val="9"/>
        <rFont val="Arial"/>
        <family val="2"/>
      </rPr>
      <t>4</t>
    </r>
  </si>
  <si>
    <r>
      <t>P-PO</t>
    </r>
    <r>
      <rPr>
        <b/>
        <vertAlign val="subscript"/>
        <sz val="9"/>
        <rFont val="Arial"/>
        <family val="2"/>
      </rPr>
      <t>4</t>
    </r>
  </si>
  <si>
    <r>
      <t>S-SO</t>
    </r>
    <r>
      <rPr>
        <b/>
        <vertAlign val="subscript"/>
        <sz val="9"/>
        <rFont val="Arial"/>
        <family val="2"/>
      </rPr>
      <t>4</t>
    </r>
  </si>
  <si>
    <r>
      <t>C</t>
    </r>
    <r>
      <rPr>
        <vertAlign val="superscript"/>
        <sz val="12"/>
        <rFont val="Arial"/>
        <family val="2"/>
      </rPr>
      <t>+</t>
    </r>
    <r>
      <rPr>
        <sz val="12"/>
        <rFont val="Arial"/>
        <family val="2"/>
      </rPr>
      <t xml:space="preserve"> - A</t>
    </r>
    <r>
      <rPr>
        <vertAlign val="superscript"/>
        <sz val="12"/>
        <rFont val="Arial"/>
        <family val="2"/>
      </rPr>
      <t>-</t>
    </r>
  </si>
  <si>
    <t>N:K</t>
  </si>
  <si>
    <r>
      <t>N-NH</t>
    </r>
    <r>
      <rPr>
        <b/>
        <vertAlign val="subscript"/>
        <sz val="12"/>
        <rFont val="Arial"/>
        <family val="2"/>
      </rPr>
      <t>4:</t>
    </r>
    <r>
      <rPr>
        <b/>
        <sz val="12"/>
        <rFont val="Arial"/>
        <family val="2"/>
      </rPr>
      <t>N-NO</t>
    </r>
    <r>
      <rPr>
        <b/>
        <vertAlign val="subscript"/>
        <sz val="12"/>
        <rFont val="Arial"/>
        <family val="2"/>
      </rPr>
      <t>3</t>
    </r>
  </si>
  <si>
    <t>Density</t>
  </si>
  <si>
    <t>Chemical formula</t>
  </si>
  <si>
    <t>Pre-mixed  fertilizers</t>
  </si>
  <si>
    <r>
      <t>HCO</t>
    </r>
    <r>
      <rPr>
        <vertAlign val="subscript"/>
        <sz val="11"/>
        <rFont val="Arial"/>
        <family val="2"/>
      </rPr>
      <t>3</t>
    </r>
    <r>
      <rPr>
        <vertAlign val="superscript"/>
        <sz val="11"/>
        <rFont val="Arial"/>
        <family val="2"/>
      </rPr>
      <t>-</t>
    </r>
    <r>
      <rPr>
        <sz val="11"/>
        <rFont val="Arial"/>
        <family val="2"/>
      </rPr>
      <t>(mE)</t>
    </r>
  </si>
  <si>
    <r>
      <t>N-NO</t>
    </r>
    <r>
      <rPr>
        <vertAlign val="subscript"/>
        <sz val="12"/>
        <rFont val="Arial"/>
        <family val="2"/>
      </rPr>
      <t>3</t>
    </r>
  </si>
  <si>
    <r>
      <t>N-NH</t>
    </r>
    <r>
      <rPr>
        <vertAlign val="subscript"/>
        <sz val="12"/>
        <rFont val="Arial"/>
        <family val="2"/>
      </rPr>
      <t>4</t>
    </r>
  </si>
  <si>
    <r>
      <t>S-SO</t>
    </r>
    <r>
      <rPr>
        <vertAlign val="subscript"/>
        <sz val="12"/>
        <rFont val="Arial"/>
        <family val="2"/>
      </rPr>
      <t>4</t>
    </r>
  </si>
  <si>
    <t>MANUAL CALCULATION</t>
  </si>
  <si>
    <t>1) Carbonate neutralization</t>
  </si>
  <si>
    <t xml:space="preserve"> Pre-mixed fertilizer </t>
  </si>
  <si>
    <t>3) Calcium</t>
  </si>
  <si>
    <t>4) Ammonium</t>
  </si>
  <si>
    <t>5) Phophorous</t>
  </si>
  <si>
    <t>6) Magnesium</t>
  </si>
  <si>
    <t>7) Nitrate</t>
  </si>
  <si>
    <t>9) Iron</t>
  </si>
  <si>
    <t>10)  Micronutrients</t>
  </si>
  <si>
    <t>11) Sodium</t>
  </si>
  <si>
    <t>Total cost of stock nutrient solutions</t>
  </si>
  <si>
    <r>
      <t>corresponding to Euro/m</t>
    </r>
    <r>
      <rPr>
        <b/>
        <vertAlign val="superscript"/>
        <sz val="14"/>
        <rFont val="Arial"/>
        <family val="2"/>
      </rPr>
      <t>3</t>
    </r>
    <r>
      <rPr>
        <b/>
        <sz val="14"/>
        <rFont val="Arial"/>
        <family val="2"/>
      </rPr>
      <t xml:space="preserve"> (nutrient solution delivered to the crop):</t>
    </r>
  </si>
  <si>
    <t>REPORT</t>
  </si>
  <si>
    <r>
      <t>NH</t>
    </r>
    <r>
      <rPr>
        <b/>
        <vertAlign val="subscript"/>
        <sz val="14"/>
        <rFont val="Arial"/>
        <family val="2"/>
      </rPr>
      <t>4</t>
    </r>
    <r>
      <rPr>
        <b/>
        <sz val="14"/>
        <rFont val="Arial"/>
        <family val="2"/>
      </rPr>
      <t>/NO</t>
    </r>
    <r>
      <rPr>
        <b/>
        <vertAlign val="subscript"/>
        <sz val="14"/>
        <rFont val="Arial"/>
        <family val="2"/>
      </rPr>
      <t>3</t>
    </r>
  </si>
  <si>
    <r>
      <t>HCO</t>
    </r>
    <r>
      <rPr>
        <b/>
        <vertAlign val="superscript"/>
        <sz val="14"/>
        <rFont val="Arial"/>
        <family val="2"/>
      </rPr>
      <t>3-</t>
    </r>
  </si>
  <si>
    <r>
      <t>N-NO</t>
    </r>
    <r>
      <rPr>
        <b/>
        <vertAlign val="subscript"/>
        <sz val="14"/>
        <rFont val="Arial"/>
        <family val="2"/>
      </rPr>
      <t>3</t>
    </r>
  </si>
  <si>
    <r>
      <t>N-NH</t>
    </r>
    <r>
      <rPr>
        <b/>
        <vertAlign val="subscript"/>
        <sz val="14"/>
        <rFont val="Arial"/>
        <family val="2"/>
      </rPr>
      <t>4</t>
    </r>
  </si>
  <si>
    <r>
      <t>S-SO</t>
    </r>
    <r>
      <rPr>
        <b/>
        <vertAlign val="subscript"/>
        <sz val="14"/>
        <rFont val="Arial"/>
        <family val="2"/>
      </rPr>
      <t>4</t>
    </r>
  </si>
  <si>
    <t>mM /mM</t>
  </si>
  <si>
    <t>Salt concentration of stock A</t>
  </si>
  <si>
    <t>Salt concentration of stock B</t>
  </si>
  <si>
    <t>Insert a new dilution ratio</t>
  </si>
  <si>
    <t>Dilution ratio of stock nutrient solutions</t>
  </si>
  <si>
    <t>Volume of stock tanks (L):</t>
  </si>
  <si>
    <t>Dilution ratio</t>
  </si>
  <si>
    <t>(uM for Fe, B, Cu, Zn, Mn, Mo; mM for other ions)</t>
  </si>
  <si>
    <t>Selected recipe (uM for Fe, B, Cu, Zn, Mn, Mo; mM for other ions)</t>
  </si>
  <si>
    <t>Nutrient solution (uM for Fe, B, Cu, Zn, Mn, Mo; mM for other ions)</t>
  </si>
  <si>
    <r>
      <t>KNO</t>
    </r>
    <r>
      <rPr>
        <vertAlign val="subscript"/>
        <sz val="10"/>
        <rFont val="Arial"/>
        <family val="2"/>
      </rPr>
      <t>3</t>
    </r>
  </si>
  <si>
    <r>
      <t>[K</t>
    </r>
    <r>
      <rPr>
        <vertAlign val="superscript"/>
        <sz val="10"/>
        <rFont val="Arial"/>
        <family val="2"/>
      </rPr>
      <t>+</t>
    </r>
    <r>
      <rPr>
        <sz val="10"/>
        <rFont val="Arial"/>
        <family val="2"/>
      </rPr>
      <t>]*[N0</t>
    </r>
    <r>
      <rPr>
        <vertAlign val="subscript"/>
        <sz val="10"/>
        <rFont val="Arial"/>
        <family val="2"/>
      </rPr>
      <t>3</t>
    </r>
    <r>
      <rPr>
        <vertAlign val="superscript"/>
        <sz val="10"/>
        <rFont val="Arial"/>
        <family val="2"/>
      </rPr>
      <t>-</t>
    </r>
    <r>
      <rPr>
        <sz val="10"/>
        <rFont val="Arial"/>
        <family val="2"/>
      </rPr>
      <t>]=s</t>
    </r>
    <r>
      <rPr>
        <vertAlign val="superscript"/>
        <sz val="10"/>
        <rFont val="Arial"/>
        <family val="2"/>
      </rPr>
      <t>2</t>
    </r>
  </si>
  <si>
    <r>
      <t>[K</t>
    </r>
    <r>
      <rPr>
        <vertAlign val="superscript"/>
        <sz val="10"/>
        <rFont val="Arial"/>
        <family val="2"/>
      </rPr>
      <t>+</t>
    </r>
    <r>
      <rPr>
        <sz val="10"/>
        <rFont val="Arial"/>
        <family val="2"/>
      </rPr>
      <t>]*[Cl</t>
    </r>
    <r>
      <rPr>
        <vertAlign val="superscript"/>
        <sz val="10"/>
        <rFont val="Arial"/>
        <family val="2"/>
      </rPr>
      <t>-</t>
    </r>
    <r>
      <rPr>
        <sz val="10"/>
        <rFont val="Arial"/>
        <family val="2"/>
      </rPr>
      <t>]= s</t>
    </r>
    <r>
      <rPr>
        <vertAlign val="superscript"/>
        <sz val="10"/>
        <rFont val="Arial"/>
        <family val="2"/>
      </rPr>
      <t>2</t>
    </r>
  </si>
  <si>
    <r>
      <t>CaNO</t>
    </r>
    <r>
      <rPr>
        <vertAlign val="subscript"/>
        <sz val="10"/>
        <rFont val="Arial"/>
        <family val="2"/>
      </rPr>
      <t>3</t>
    </r>
  </si>
  <si>
    <r>
      <t>[Ca]*[NO</t>
    </r>
    <r>
      <rPr>
        <vertAlign val="subscript"/>
        <sz val="10"/>
        <rFont val="Arial"/>
        <family val="2"/>
      </rPr>
      <t>3</t>
    </r>
    <r>
      <rPr>
        <vertAlign val="superscript"/>
        <sz val="10"/>
        <rFont val="Arial"/>
        <family val="2"/>
      </rPr>
      <t>-</t>
    </r>
    <r>
      <rPr>
        <vertAlign val="subscript"/>
        <sz val="10"/>
        <rFont val="Arial"/>
        <family val="2"/>
      </rPr>
      <t>]</t>
    </r>
    <r>
      <rPr>
        <vertAlign val="superscript"/>
        <sz val="10"/>
        <rFont val="Arial"/>
        <family val="2"/>
      </rPr>
      <t>2</t>
    </r>
    <r>
      <rPr>
        <sz val="10"/>
        <rFont val="Arial"/>
        <family val="2"/>
      </rPr>
      <t>=4s</t>
    </r>
    <r>
      <rPr>
        <vertAlign val="superscript"/>
        <sz val="10"/>
        <rFont val="Arial"/>
        <family val="2"/>
      </rPr>
      <t>2</t>
    </r>
  </si>
  <si>
    <r>
      <t>CaCl</t>
    </r>
    <r>
      <rPr>
        <vertAlign val="subscript"/>
        <sz val="10"/>
        <rFont val="Arial"/>
        <family val="2"/>
      </rPr>
      <t>2</t>
    </r>
  </si>
  <si>
    <r>
      <t>[Ca]*[Cl-</t>
    </r>
    <r>
      <rPr>
        <vertAlign val="subscript"/>
        <sz val="10"/>
        <rFont val="Arial"/>
        <family val="2"/>
      </rPr>
      <t>]2=4s3</t>
    </r>
  </si>
  <si>
    <r>
      <t>Ca(H</t>
    </r>
    <r>
      <rPr>
        <vertAlign val="subscript"/>
        <sz val="10"/>
        <rFont val="Arial"/>
        <family val="2"/>
      </rPr>
      <t>2</t>
    </r>
    <r>
      <rPr>
        <sz val="10"/>
        <rFont val="Arial"/>
        <family val="2"/>
      </rPr>
      <t>PO</t>
    </r>
    <r>
      <rPr>
        <vertAlign val="subscript"/>
        <sz val="10"/>
        <rFont val="Arial"/>
        <family val="2"/>
      </rPr>
      <t>4</t>
    </r>
    <r>
      <rPr>
        <sz val="10"/>
        <rFont val="Arial"/>
        <family val="2"/>
      </rPr>
      <t>)</t>
    </r>
    <r>
      <rPr>
        <vertAlign val="subscript"/>
        <sz val="10"/>
        <rFont val="Arial"/>
        <family val="2"/>
      </rPr>
      <t>2*</t>
    </r>
    <r>
      <rPr>
        <sz val="10"/>
        <rFont val="Arial"/>
        <family val="2"/>
      </rPr>
      <t>H</t>
    </r>
    <r>
      <rPr>
        <vertAlign val="subscript"/>
        <sz val="10"/>
        <rFont val="Arial"/>
        <family val="2"/>
      </rPr>
      <t>2</t>
    </r>
    <r>
      <rPr>
        <sz val="10"/>
        <rFont val="Arial"/>
        <family val="2"/>
      </rPr>
      <t>O</t>
    </r>
  </si>
  <si>
    <r>
      <t>Ca(H</t>
    </r>
    <r>
      <rPr>
        <vertAlign val="subscript"/>
        <sz val="10"/>
        <rFont val="Arial"/>
        <family val="2"/>
      </rPr>
      <t>2</t>
    </r>
    <r>
      <rPr>
        <sz val="10"/>
        <rFont val="Arial"/>
        <family val="2"/>
      </rPr>
      <t>PO</t>
    </r>
    <r>
      <rPr>
        <vertAlign val="subscript"/>
        <sz val="10"/>
        <rFont val="Arial"/>
        <family val="2"/>
      </rPr>
      <t>4</t>
    </r>
    <r>
      <rPr>
        <sz val="10"/>
        <rFont val="Arial"/>
        <family val="2"/>
      </rPr>
      <t>)</t>
    </r>
    <r>
      <rPr>
        <vertAlign val="subscript"/>
        <sz val="10"/>
        <rFont val="Arial"/>
        <family val="2"/>
      </rPr>
      <t>2=4s2</t>
    </r>
  </si>
  <si>
    <r>
      <t>CaSO</t>
    </r>
    <r>
      <rPr>
        <vertAlign val="subscript"/>
        <sz val="10"/>
        <rFont val="Arial"/>
        <family val="2"/>
      </rPr>
      <t>4</t>
    </r>
  </si>
  <si>
    <r>
      <t>NH</t>
    </r>
    <r>
      <rPr>
        <vertAlign val="subscript"/>
        <sz val="10"/>
        <rFont val="Arial"/>
        <family val="2"/>
      </rPr>
      <t>4</t>
    </r>
    <r>
      <rPr>
        <sz val="10"/>
        <rFont val="Arial"/>
        <family val="2"/>
      </rPr>
      <t>NO</t>
    </r>
    <r>
      <rPr>
        <vertAlign val="subscript"/>
        <sz val="10"/>
        <rFont val="Arial"/>
        <family val="2"/>
      </rPr>
      <t>3</t>
    </r>
  </si>
  <si>
    <r>
      <t>[NH4</t>
    </r>
    <r>
      <rPr>
        <vertAlign val="superscript"/>
        <sz val="10"/>
        <rFont val="Arial"/>
        <family val="2"/>
      </rPr>
      <t>+</t>
    </r>
    <r>
      <rPr>
        <sz val="10"/>
        <rFont val="Arial"/>
        <family val="2"/>
      </rPr>
      <t>]*[NO3</t>
    </r>
    <r>
      <rPr>
        <vertAlign val="superscript"/>
        <sz val="10"/>
        <rFont val="Arial"/>
        <family val="2"/>
      </rPr>
      <t>-</t>
    </r>
    <r>
      <rPr>
        <sz val="10"/>
        <rFont val="Arial"/>
        <family val="2"/>
      </rPr>
      <t>]= s</t>
    </r>
    <r>
      <rPr>
        <vertAlign val="superscript"/>
        <sz val="10"/>
        <rFont val="Arial"/>
        <family val="2"/>
      </rPr>
      <t>2</t>
    </r>
  </si>
  <si>
    <r>
      <t>NH</t>
    </r>
    <r>
      <rPr>
        <vertAlign val="subscript"/>
        <sz val="10"/>
        <rFont val="Arial"/>
        <family val="2"/>
      </rPr>
      <t>4</t>
    </r>
    <r>
      <rPr>
        <sz val="10"/>
        <rFont val="Arial"/>
        <family val="2"/>
      </rPr>
      <t>Cl</t>
    </r>
  </si>
  <si>
    <r>
      <t>[NH4</t>
    </r>
    <r>
      <rPr>
        <vertAlign val="superscript"/>
        <sz val="10"/>
        <rFont val="Arial"/>
        <family val="2"/>
      </rPr>
      <t>+</t>
    </r>
    <r>
      <rPr>
        <sz val="10"/>
        <rFont val="Arial"/>
        <family val="2"/>
      </rPr>
      <t>]*[Cl</t>
    </r>
    <r>
      <rPr>
        <vertAlign val="superscript"/>
        <sz val="10"/>
        <rFont val="Arial"/>
        <family val="2"/>
      </rPr>
      <t>-</t>
    </r>
    <r>
      <rPr>
        <sz val="10"/>
        <rFont val="Arial"/>
        <family val="2"/>
      </rPr>
      <t>]= s</t>
    </r>
    <r>
      <rPr>
        <vertAlign val="superscript"/>
        <sz val="10"/>
        <rFont val="Arial"/>
        <family val="2"/>
      </rPr>
      <t>2</t>
    </r>
  </si>
  <si>
    <r>
      <t>NaNO</t>
    </r>
    <r>
      <rPr>
        <vertAlign val="subscript"/>
        <sz val="10"/>
        <rFont val="Arial"/>
        <family val="2"/>
      </rPr>
      <t>3</t>
    </r>
  </si>
  <si>
    <r>
      <t>[Na</t>
    </r>
    <r>
      <rPr>
        <vertAlign val="superscript"/>
        <sz val="10"/>
        <rFont val="Arial"/>
        <family val="2"/>
      </rPr>
      <t>+</t>
    </r>
    <r>
      <rPr>
        <sz val="10"/>
        <rFont val="Arial"/>
        <family val="2"/>
      </rPr>
      <t>]*[NO3</t>
    </r>
    <r>
      <rPr>
        <vertAlign val="superscript"/>
        <sz val="10"/>
        <rFont val="Arial"/>
        <family val="2"/>
      </rPr>
      <t>-</t>
    </r>
    <r>
      <rPr>
        <sz val="10"/>
        <rFont val="Arial"/>
        <family val="2"/>
      </rPr>
      <t>]= s</t>
    </r>
    <r>
      <rPr>
        <vertAlign val="superscript"/>
        <sz val="10"/>
        <rFont val="Arial"/>
        <family val="2"/>
      </rPr>
      <t>2</t>
    </r>
  </si>
  <si>
    <r>
      <t>[Na</t>
    </r>
    <r>
      <rPr>
        <vertAlign val="superscript"/>
        <sz val="10"/>
        <rFont val="Arial"/>
        <family val="2"/>
      </rPr>
      <t>+</t>
    </r>
    <r>
      <rPr>
        <sz val="10"/>
        <rFont val="Arial"/>
        <family val="2"/>
      </rPr>
      <t>]*[Cl</t>
    </r>
    <r>
      <rPr>
        <vertAlign val="superscript"/>
        <sz val="10"/>
        <rFont val="Arial"/>
        <family val="2"/>
      </rPr>
      <t>-</t>
    </r>
    <r>
      <rPr>
        <sz val="10"/>
        <rFont val="Arial"/>
        <family val="2"/>
      </rPr>
      <t>]= s</t>
    </r>
    <r>
      <rPr>
        <vertAlign val="superscript"/>
        <sz val="10"/>
        <rFont val="Arial"/>
        <family val="2"/>
      </rPr>
      <t>2</t>
    </r>
  </si>
  <si>
    <r>
      <t>Fe(NO</t>
    </r>
    <r>
      <rPr>
        <vertAlign val="subscript"/>
        <sz val="10"/>
        <rFont val="Arial"/>
        <family val="2"/>
      </rPr>
      <t>3</t>
    </r>
    <r>
      <rPr>
        <sz val="10"/>
        <rFont val="Arial"/>
        <family val="2"/>
      </rPr>
      <t>)</t>
    </r>
    <r>
      <rPr>
        <vertAlign val="subscript"/>
        <sz val="10"/>
        <rFont val="Arial"/>
        <family val="2"/>
      </rPr>
      <t>2</t>
    </r>
    <r>
      <rPr>
        <sz val="10"/>
        <rFont val="Arial"/>
        <family val="2"/>
      </rPr>
      <t>*6H</t>
    </r>
    <r>
      <rPr>
        <vertAlign val="subscript"/>
        <sz val="10"/>
        <rFont val="Arial"/>
        <family val="2"/>
      </rPr>
      <t>2</t>
    </r>
    <r>
      <rPr>
        <sz val="10"/>
        <rFont val="Arial"/>
        <family val="2"/>
      </rPr>
      <t>O</t>
    </r>
  </si>
  <si>
    <r>
      <t>[Fe</t>
    </r>
    <r>
      <rPr>
        <vertAlign val="superscript"/>
        <sz val="10"/>
        <rFont val="Arial"/>
        <family val="2"/>
      </rPr>
      <t>2+</t>
    </r>
    <r>
      <rPr>
        <sz val="10"/>
        <rFont val="Arial"/>
        <family val="2"/>
      </rPr>
      <t>]*[2NO</t>
    </r>
    <r>
      <rPr>
        <vertAlign val="subscript"/>
        <sz val="10"/>
        <rFont val="Arial"/>
        <family val="2"/>
      </rPr>
      <t>3</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</si>
  <si>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Fe(Cl)</t>
    </r>
    <r>
      <rPr>
        <vertAlign val="subscript"/>
        <sz val="10"/>
        <rFont val="Arial"/>
        <family val="2"/>
      </rPr>
      <t>2</t>
    </r>
  </si>
  <si>
    <r>
      <t>[Fe</t>
    </r>
    <r>
      <rPr>
        <vertAlign val="superscript"/>
        <sz val="10"/>
        <rFont val="Arial"/>
        <family val="2"/>
      </rPr>
      <t>2+</t>
    </r>
    <r>
      <rPr>
        <sz val="10"/>
        <rFont val="Arial"/>
        <family val="2"/>
      </rPr>
      <t>]*[2Cl</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</si>
  <si>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Ca(H</t>
    </r>
    <r>
      <rPr>
        <vertAlign val="subscript"/>
        <sz val="10"/>
        <rFont val="Arial"/>
        <family val="2"/>
      </rPr>
      <t>2</t>
    </r>
    <r>
      <rPr>
        <sz val="10"/>
        <rFont val="Arial"/>
        <family val="2"/>
      </rPr>
      <t>PO</t>
    </r>
    <r>
      <rPr>
        <vertAlign val="subscript"/>
        <sz val="10"/>
        <rFont val="Arial"/>
        <family val="2"/>
      </rPr>
      <t>4</t>
    </r>
    <r>
      <rPr>
        <sz val="10"/>
        <rFont val="Arial"/>
        <family val="2"/>
      </rPr>
      <t>)</t>
    </r>
    <r>
      <rPr>
        <vertAlign val="subscript"/>
        <sz val="10"/>
        <rFont val="Arial"/>
        <family val="2"/>
      </rPr>
      <t>2</t>
    </r>
  </si>
  <si>
    <r>
      <t>KH</t>
    </r>
    <r>
      <rPr>
        <vertAlign val="subscript"/>
        <sz val="10"/>
        <rFont val="Arial"/>
        <family val="2"/>
      </rPr>
      <t>2</t>
    </r>
    <r>
      <rPr>
        <sz val="10"/>
        <rFont val="Arial"/>
        <family val="2"/>
      </rPr>
      <t>PO</t>
    </r>
    <r>
      <rPr>
        <vertAlign val="subscript"/>
        <sz val="10"/>
        <rFont val="Arial"/>
        <family val="2"/>
      </rPr>
      <t>4</t>
    </r>
  </si>
  <si>
    <r>
      <t>[K</t>
    </r>
    <r>
      <rPr>
        <vertAlign val="superscript"/>
        <sz val="10"/>
        <rFont val="Arial"/>
        <family val="2"/>
      </rPr>
      <t>+</t>
    </r>
    <r>
      <rPr>
        <sz val="10"/>
        <rFont val="Arial"/>
        <family val="2"/>
      </rPr>
      <t>]*[H</t>
    </r>
    <r>
      <rPr>
        <vertAlign val="subscript"/>
        <sz val="10"/>
        <rFont val="Arial"/>
        <family val="2"/>
      </rPr>
      <t>2</t>
    </r>
    <r>
      <rPr>
        <sz val="10"/>
        <rFont val="Arial"/>
        <family val="2"/>
      </rPr>
      <t>PO</t>
    </r>
    <r>
      <rPr>
        <vertAlign val="subscript"/>
        <sz val="10"/>
        <rFont val="Arial"/>
        <family val="2"/>
      </rPr>
      <t>4</t>
    </r>
    <r>
      <rPr>
        <vertAlign val="superscript"/>
        <sz val="10"/>
        <rFont val="Arial"/>
        <family val="2"/>
      </rPr>
      <t>-</t>
    </r>
    <r>
      <rPr>
        <sz val="10"/>
        <rFont val="Arial"/>
        <family val="2"/>
      </rPr>
      <t>]=s</t>
    </r>
    <r>
      <rPr>
        <vertAlign val="superscript"/>
        <sz val="10"/>
        <rFont val="Arial"/>
        <family val="2"/>
      </rPr>
      <t>2</t>
    </r>
  </si>
  <si>
    <r>
      <t>K</t>
    </r>
    <r>
      <rPr>
        <vertAlign val="subscript"/>
        <sz val="10"/>
        <rFont val="Arial"/>
        <family val="2"/>
      </rPr>
      <t>2</t>
    </r>
    <r>
      <rPr>
        <sz val="10"/>
        <rFont val="Arial"/>
        <family val="2"/>
      </rPr>
      <t>SO</t>
    </r>
    <r>
      <rPr>
        <vertAlign val="subscript"/>
        <sz val="10"/>
        <rFont val="Arial"/>
        <family val="2"/>
      </rPr>
      <t>4</t>
    </r>
  </si>
  <si>
    <r>
      <t>[2K</t>
    </r>
    <r>
      <rPr>
        <vertAlign val="superscript"/>
        <sz val="10"/>
        <rFont val="Arial"/>
        <family val="2"/>
      </rPr>
      <t>+</t>
    </r>
    <r>
      <rPr>
        <sz val="10"/>
        <rFont val="Arial"/>
        <family val="2"/>
      </rPr>
      <t>]</t>
    </r>
    <r>
      <rPr>
        <vertAlign val="superscript"/>
        <sz val="10"/>
        <rFont val="Arial"/>
        <family val="2"/>
      </rPr>
      <t>2</t>
    </r>
    <r>
      <rPr>
        <sz val="10"/>
        <rFont val="Arial"/>
        <family val="2"/>
      </rPr>
      <t>*[SO</t>
    </r>
    <r>
      <rPr>
        <vertAlign val="subscript"/>
        <sz val="10"/>
        <rFont val="Arial"/>
        <family val="2"/>
      </rPr>
      <t>4</t>
    </r>
    <r>
      <rPr>
        <vertAlign val="superscript"/>
        <sz val="10"/>
        <rFont val="Arial"/>
        <family val="2"/>
      </rPr>
      <t>2-</t>
    </r>
    <r>
      <rPr>
        <sz val="10"/>
        <rFont val="Arial"/>
        <family val="2"/>
      </rPr>
      <t>]=4s</t>
    </r>
    <r>
      <rPr>
        <vertAlign val="superscript"/>
        <sz val="10"/>
        <rFont val="Arial"/>
        <family val="2"/>
      </rPr>
      <t>3</t>
    </r>
  </si>
  <si>
    <r>
      <t>K</t>
    </r>
    <r>
      <rPr>
        <vertAlign val="subscript"/>
        <sz val="10"/>
        <rFont val="Arial"/>
        <family val="2"/>
      </rPr>
      <t>2</t>
    </r>
    <r>
      <rPr>
        <sz val="10"/>
        <rFont val="Arial"/>
        <family val="2"/>
      </rPr>
      <t>B</t>
    </r>
    <r>
      <rPr>
        <vertAlign val="subscript"/>
        <sz val="10"/>
        <rFont val="Arial"/>
        <family val="2"/>
      </rPr>
      <t>4</t>
    </r>
    <r>
      <rPr>
        <sz val="10"/>
        <rFont val="Arial"/>
        <family val="2"/>
      </rPr>
      <t>O</t>
    </r>
    <r>
      <rPr>
        <vertAlign val="subscript"/>
        <sz val="10"/>
        <rFont val="Arial"/>
        <family val="2"/>
      </rPr>
      <t>7</t>
    </r>
    <r>
      <rPr>
        <sz val="10"/>
        <rFont val="Arial"/>
        <family val="2"/>
      </rPr>
      <t>*8H</t>
    </r>
    <r>
      <rPr>
        <vertAlign val="subscript"/>
        <sz val="10"/>
        <rFont val="Arial"/>
        <family val="2"/>
      </rPr>
      <t>2</t>
    </r>
    <r>
      <rPr>
        <sz val="10"/>
        <rFont val="Arial"/>
        <family val="2"/>
      </rPr>
      <t xml:space="preserve">O </t>
    </r>
  </si>
  <si>
    <r>
      <t>[2K</t>
    </r>
    <r>
      <rPr>
        <vertAlign val="superscript"/>
        <sz val="10"/>
        <rFont val="Arial"/>
        <family val="2"/>
      </rPr>
      <t>+</t>
    </r>
    <r>
      <rPr>
        <sz val="10"/>
        <rFont val="Arial"/>
        <family val="2"/>
      </rPr>
      <t>]</t>
    </r>
    <r>
      <rPr>
        <vertAlign val="superscript"/>
        <sz val="10"/>
        <rFont val="Arial"/>
        <family val="2"/>
      </rPr>
      <t>2</t>
    </r>
    <r>
      <rPr>
        <vertAlign val="subscript"/>
        <sz val="10"/>
        <rFont val="Arial"/>
        <family val="2"/>
      </rPr>
      <t>*</t>
    </r>
    <r>
      <rPr>
        <sz val="10"/>
        <rFont val="Arial"/>
        <family val="2"/>
      </rPr>
      <t>[B</t>
    </r>
    <r>
      <rPr>
        <vertAlign val="subscript"/>
        <sz val="10"/>
        <rFont val="Arial"/>
        <family val="2"/>
      </rPr>
      <t>4</t>
    </r>
    <r>
      <rPr>
        <sz val="10"/>
        <rFont val="Arial"/>
        <family val="2"/>
      </rPr>
      <t>O</t>
    </r>
    <r>
      <rPr>
        <vertAlign val="subscript"/>
        <sz val="10"/>
        <rFont val="Arial"/>
        <family val="2"/>
      </rPr>
      <t>7</t>
    </r>
    <r>
      <rPr>
        <vertAlign val="superscript"/>
        <sz val="10"/>
        <rFont val="Arial"/>
        <family val="2"/>
      </rPr>
      <t>2-</t>
    </r>
    <r>
      <rPr>
        <sz val="10"/>
        <rFont val="Arial"/>
        <family val="2"/>
      </rPr>
      <t>]</t>
    </r>
    <r>
      <rPr>
        <vertAlign val="subscript"/>
        <sz val="10"/>
        <rFont val="Arial"/>
        <family val="2"/>
      </rPr>
      <t>=</t>
    </r>
    <r>
      <rPr>
        <sz val="10"/>
        <rFont val="Arial"/>
        <family val="2"/>
      </rPr>
      <t xml:space="preserve"> 4s</t>
    </r>
    <r>
      <rPr>
        <vertAlign val="superscript"/>
        <sz val="10"/>
        <rFont val="Arial"/>
        <family val="2"/>
      </rPr>
      <t>3</t>
    </r>
  </si>
  <si>
    <r>
      <t>K</t>
    </r>
    <r>
      <rPr>
        <vertAlign val="subscript"/>
        <sz val="10"/>
        <rFont val="Arial"/>
        <family val="2"/>
      </rPr>
      <t>2</t>
    </r>
    <r>
      <rPr>
        <sz val="10"/>
        <rFont val="Arial"/>
        <family val="2"/>
      </rPr>
      <t>MoO</t>
    </r>
    <r>
      <rPr>
        <vertAlign val="subscript"/>
        <sz val="10"/>
        <rFont val="Arial"/>
        <family val="2"/>
      </rPr>
      <t>4</t>
    </r>
  </si>
  <si>
    <r>
      <t>[2K</t>
    </r>
    <r>
      <rPr>
        <vertAlign val="superscript"/>
        <sz val="10"/>
        <rFont val="Arial"/>
        <family val="2"/>
      </rPr>
      <t>+</t>
    </r>
    <r>
      <rPr>
        <sz val="10"/>
        <rFont val="Arial"/>
        <family val="2"/>
      </rPr>
      <t>]</t>
    </r>
    <r>
      <rPr>
        <vertAlign val="superscript"/>
        <sz val="10"/>
        <rFont val="Arial"/>
        <family val="2"/>
      </rPr>
      <t>2</t>
    </r>
    <r>
      <rPr>
        <sz val="10"/>
        <rFont val="Arial"/>
        <family val="2"/>
      </rPr>
      <t>*[MoO</t>
    </r>
    <r>
      <rPr>
        <vertAlign val="subscript"/>
        <sz val="10"/>
        <rFont val="Arial"/>
        <family val="2"/>
      </rPr>
      <t>4</t>
    </r>
    <r>
      <rPr>
        <vertAlign val="superscript"/>
        <sz val="10"/>
        <rFont val="Arial"/>
        <family val="2"/>
      </rPr>
      <t>2-</t>
    </r>
    <r>
      <rPr>
        <sz val="10"/>
        <rFont val="Arial"/>
        <family val="2"/>
      </rPr>
      <t>]=4s</t>
    </r>
    <r>
      <rPr>
        <vertAlign val="superscript"/>
        <sz val="10"/>
        <rFont val="Arial"/>
        <family val="2"/>
      </rPr>
      <t>3</t>
    </r>
  </si>
  <si>
    <r>
      <t>(NH</t>
    </r>
    <r>
      <rPr>
        <vertAlign val="subscript"/>
        <sz val="10"/>
        <rFont val="Arial"/>
        <family val="2"/>
      </rPr>
      <t>4)</t>
    </r>
    <r>
      <rPr>
        <sz val="10"/>
        <rFont val="Arial"/>
        <family val="2"/>
      </rPr>
      <t>NO</t>
    </r>
    <r>
      <rPr>
        <vertAlign val="subscript"/>
        <sz val="10"/>
        <rFont val="Arial"/>
        <family val="2"/>
      </rPr>
      <t>3</t>
    </r>
  </si>
  <si>
    <r>
      <t>[NH</t>
    </r>
    <r>
      <rPr>
        <vertAlign val="subscript"/>
        <sz val="10"/>
        <rFont val="Arial"/>
        <family val="2"/>
      </rPr>
      <t>4</t>
    </r>
    <r>
      <rPr>
        <vertAlign val="superscript"/>
        <sz val="10"/>
        <rFont val="Arial"/>
        <family val="2"/>
      </rPr>
      <t>+</t>
    </r>
    <r>
      <rPr>
        <sz val="10"/>
        <rFont val="Arial"/>
        <family val="2"/>
      </rPr>
      <t>]*[NO</t>
    </r>
    <r>
      <rPr>
        <vertAlign val="subscript"/>
        <sz val="10"/>
        <rFont val="Arial"/>
        <family val="2"/>
      </rPr>
      <t>3</t>
    </r>
    <r>
      <rPr>
        <vertAlign val="superscript"/>
        <sz val="10"/>
        <rFont val="Arial"/>
        <family val="2"/>
      </rPr>
      <t>-</t>
    </r>
    <r>
      <rPr>
        <sz val="10"/>
        <rFont val="Arial"/>
        <family val="2"/>
      </rPr>
      <t>]= s</t>
    </r>
    <r>
      <rPr>
        <vertAlign val="superscript"/>
        <sz val="10"/>
        <rFont val="Arial"/>
        <family val="2"/>
      </rPr>
      <t>2</t>
    </r>
  </si>
  <si>
    <r>
      <t>(NH</t>
    </r>
    <r>
      <rPr>
        <vertAlign val="subscript"/>
        <sz val="10"/>
        <rFont val="Arial"/>
        <family val="2"/>
      </rPr>
      <t>4</t>
    </r>
    <r>
      <rPr>
        <sz val="10"/>
        <rFont val="Arial"/>
        <family val="2"/>
      </rPr>
      <t>)H</t>
    </r>
    <r>
      <rPr>
        <vertAlign val="subscript"/>
        <sz val="10"/>
        <rFont val="Arial"/>
        <family val="2"/>
      </rPr>
      <t>2</t>
    </r>
    <r>
      <rPr>
        <sz val="10"/>
        <rFont val="Arial"/>
        <family val="2"/>
      </rPr>
      <t>PO</t>
    </r>
    <r>
      <rPr>
        <vertAlign val="subscript"/>
        <sz val="10"/>
        <rFont val="Arial"/>
        <family val="2"/>
      </rPr>
      <t>4</t>
    </r>
  </si>
  <si>
    <r>
      <t>[(NH</t>
    </r>
    <r>
      <rPr>
        <vertAlign val="subscript"/>
        <sz val="10"/>
        <rFont val="Arial"/>
        <family val="2"/>
      </rPr>
      <t>4</t>
    </r>
    <r>
      <rPr>
        <sz val="10"/>
        <rFont val="Arial"/>
        <family val="2"/>
      </rPr>
      <t>)</t>
    </r>
    <r>
      <rPr>
        <vertAlign val="superscript"/>
        <sz val="10"/>
        <rFont val="Arial"/>
        <family val="2"/>
      </rPr>
      <t>+</t>
    </r>
    <r>
      <rPr>
        <sz val="10"/>
        <rFont val="Arial"/>
        <family val="2"/>
      </rPr>
      <t>]*[H</t>
    </r>
    <r>
      <rPr>
        <vertAlign val="subscript"/>
        <sz val="10"/>
        <rFont val="Arial"/>
        <family val="2"/>
      </rPr>
      <t>2</t>
    </r>
    <r>
      <rPr>
        <sz val="10"/>
        <rFont val="Arial"/>
        <family val="2"/>
      </rPr>
      <t>PO</t>
    </r>
    <r>
      <rPr>
        <vertAlign val="subscript"/>
        <sz val="10"/>
        <rFont val="Arial"/>
        <family val="2"/>
      </rPr>
      <t>4</t>
    </r>
    <r>
      <rPr>
        <vertAlign val="superscript"/>
        <sz val="10"/>
        <rFont val="Arial"/>
        <family val="2"/>
      </rPr>
      <t>-</t>
    </r>
    <r>
      <rPr>
        <sz val="10"/>
        <rFont val="Arial"/>
        <family val="2"/>
      </rPr>
      <t>]=s</t>
    </r>
    <r>
      <rPr>
        <vertAlign val="superscript"/>
        <sz val="10"/>
        <rFont val="Arial"/>
        <family val="2"/>
      </rPr>
      <t>2</t>
    </r>
  </si>
  <si>
    <r>
      <t>(NH</t>
    </r>
    <r>
      <rPr>
        <vertAlign val="subscript"/>
        <sz val="10"/>
        <rFont val="Arial"/>
        <family val="2"/>
      </rPr>
      <t>4</t>
    </r>
    <r>
      <rPr>
        <sz val="10"/>
        <rFont val="Arial"/>
        <family val="2"/>
      </rPr>
      <t>)</t>
    </r>
    <r>
      <rPr>
        <vertAlign val="subscript"/>
        <sz val="10"/>
        <rFont val="Arial"/>
        <family val="2"/>
      </rPr>
      <t>2</t>
    </r>
    <r>
      <rPr>
        <sz val="10"/>
        <rFont val="Arial"/>
        <family val="2"/>
      </rPr>
      <t>SO</t>
    </r>
    <r>
      <rPr>
        <vertAlign val="subscript"/>
        <sz val="10"/>
        <rFont val="Arial"/>
        <family val="2"/>
      </rPr>
      <t>4</t>
    </r>
  </si>
  <si>
    <r>
      <t>[2NH</t>
    </r>
    <r>
      <rPr>
        <vertAlign val="subscript"/>
        <sz val="10"/>
        <rFont val="Arial"/>
        <family val="2"/>
      </rPr>
      <t>4</t>
    </r>
    <r>
      <rPr>
        <vertAlign val="superscript"/>
        <sz val="10"/>
        <rFont val="Arial"/>
        <family val="2"/>
      </rPr>
      <t>+</t>
    </r>
    <r>
      <rPr>
        <sz val="10"/>
        <rFont val="Arial"/>
        <family val="2"/>
      </rPr>
      <t>]</t>
    </r>
    <r>
      <rPr>
        <vertAlign val="superscript"/>
        <sz val="10"/>
        <rFont val="Arial"/>
        <family val="2"/>
      </rPr>
      <t>2</t>
    </r>
    <r>
      <rPr>
        <sz val="10"/>
        <rFont val="Arial"/>
        <family val="2"/>
      </rPr>
      <t>*[SO</t>
    </r>
    <r>
      <rPr>
        <vertAlign val="subscript"/>
        <sz val="10"/>
        <rFont val="Arial"/>
        <family val="2"/>
      </rPr>
      <t>4</t>
    </r>
    <r>
      <rPr>
        <vertAlign val="superscript"/>
        <sz val="10"/>
        <rFont val="Arial"/>
        <family val="2"/>
      </rPr>
      <t>2-</t>
    </r>
    <r>
      <rPr>
        <sz val="10"/>
        <rFont val="Arial"/>
        <family val="2"/>
      </rPr>
      <t>]=4s</t>
    </r>
    <r>
      <rPr>
        <vertAlign val="superscript"/>
        <sz val="10"/>
        <rFont val="Arial"/>
        <family val="2"/>
      </rPr>
      <t>3</t>
    </r>
  </si>
  <si>
    <r>
      <t>[(NH</t>
    </r>
    <r>
      <rPr>
        <vertAlign val="subscript"/>
        <sz val="10"/>
        <rFont val="Arial"/>
        <family val="2"/>
      </rPr>
      <t>4</t>
    </r>
    <r>
      <rPr>
        <sz val="10"/>
        <rFont val="Arial"/>
        <family val="2"/>
      </rPr>
      <t>)</t>
    </r>
    <r>
      <rPr>
        <vertAlign val="superscript"/>
        <sz val="10"/>
        <rFont val="Arial"/>
        <family val="2"/>
      </rPr>
      <t>+</t>
    </r>
    <r>
      <rPr>
        <sz val="10"/>
        <rFont val="Arial"/>
        <family val="2"/>
      </rPr>
      <t>]*[Cl</t>
    </r>
    <r>
      <rPr>
        <vertAlign val="superscript"/>
        <sz val="10"/>
        <rFont val="Arial"/>
        <family val="2"/>
      </rPr>
      <t>-</t>
    </r>
    <r>
      <rPr>
        <sz val="10"/>
        <rFont val="Arial"/>
        <family val="2"/>
      </rPr>
      <t>]= s</t>
    </r>
    <r>
      <rPr>
        <vertAlign val="superscript"/>
        <sz val="10"/>
        <rFont val="Arial"/>
        <family val="2"/>
      </rPr>
      <t>2</t>
    </r>
  </si>
  <si>
    <r>
      <t>(NH</t>
    </r>
    <r>
      <rPr>
        <vertAlign val="subscript"/>
        <sz val="10"/>
        <rFont val="Arial"/>
        <family val="2"/>
      </rPr>
      <t>4</t>
    </r>
    <r>
      <rPr>
        <sz val="10"/>
        <rFont val="Arial"/>
        <family val="2"/>
      </rPr>
      <t>)</t>
    </r>
    <r>
      <rPr>
        <vertAlign val="subscript"/>
        <sz val="10"/>
        <rFont val="Arial"/>
        <family val="2"/>
      </rPr>
      <t>2</t>
    </r>
    <r>
      <rPr>
        <sz val="10"/>
        <rFont val="Arial"/>
        <family val="2"/>
      </rPr>
      <t>B</t>
    </r>
    <r>
      <rPr>
        <vertAlign val="subscript"/>
        <sz val="10"/>
        <rFont val="Arial"/>
        <family val="2"/>
      </rPr>
      <t>4</t>
    </r>
    <r>
      <rPr>
        <sz val="10"/>
        <rFont val="Arial"/>
        <family val="2"/>
      </rPr>
      <t>O</t>
    </r>
    <r>
      <rPr>
        <vertAlign val="subscript"/>
        <sz val="10"/>
        <rFont val="Arial"/>
        <family val="2"/>
      </rPr>
      <t>7</t>
    </r>
    <r>
      <rPr>
        <sz val="10"/>
        <rFont val="Arial"/>
        <family val="2"/>
      </rPr>
      <t>*4H</t>
    </r>
    <r>
      <rPr>
        <vertAlign val="subscript"/>
        <sz val="10"/>
        <rFont val="Arial"/>
        <family val="2"/>
      </rPr>
      <t>2</t>
    </r>
    <r>
      <rPr>
        <sz val="10"/>
        <rFont val="Arial"/>
        <family val="2"/>
      </rPr>
      <t>O</t>
    </r>
  </si>
  <si>
    <r>
      <t>[2(NH</t>
    </r>
    <r>
      <rPr>
        <vertAlign val="subscript"/>
        <sz val="10"/>
        <rFont val="Arial"/>
        <family val="2"/>
      </rPr>
      <t>4</t>
    </r>
    <r>
      <rPr>
        <sz val="10"/>
        <rFont val="Arial"/>
        <family val="2"/>
      </rPr>
      <t>)</t>
    </r>
    <r>
      <rPr>
        <vertAlign val="superscript"/>
        <sz val="10"/>
        <rFont val="Arial"/>
        <family val="2"/>
      </rPr>
      <t>+</t>
    </r>
    <r>
      <rPr>
        <sz val="10"/>
        <rFont val="Arial"/>
        <family val="2"/>
      </rPr>
      <t>]</t>
    </r>
    <r>
      <rPr>
        <vertAlign val="superscript"/>
        <sz val="10"/>
        <rFont val="Arial"/>
        <family val="2"/>
      </rPr>
      <t>2</t>
    </r>
    <r>
      <rPr>
        <sz val="10"/>
        <rFont val="Arial"/>
        <family val="2"/>
      </rPr>
      <t>*[(B4O7*4H2O)</t>
    </r>
    <r>
      <rPr>
        <vertAlign val="superscript"/>
        <sz val="10"/>
        <rFont val="Arial"/>
        <family val="2"/>
      </rPr>
      <t>2-</t>
    </r>
    <r>
      <rPr>
        <sz val="10"/>
        <rFont val="Arial"/>
        <family val="2"/>
      </rPr>
      <t>]=4s</t>
    </r>
    <r>
      <rPr>
        <vertAlign val="superscript"/>
        <sz val="10"/>
        <rFont val="Arial"/>
        <family val="2"/>
      </rPr>
      <t>3</t>
    </r>
  </si>
  <si>
    <r>
      <t>[6(NH</t>
    </r>
    <r>
      <rPr>
        <vertAlign val="subscript"/>
        <sz val="10"/>
        <rFont val="Arial"/>
        <family val="2"/>
      </rPr>
      <t>4</t>
    </r>
    <r>
      <rPr>
        <sz val="10"/>
        <rFont val="Arial"/>
        <family val="2"/>
      </rPr>
      <t>)</t>
    </r>
    <r>
      <rPr>
        <vertAlign val="superscript"/>
        <sz val="10"/>
        <rFont val="Arial"/>
        <family val="2"/>
      </rPr>
      <t>+</t>
    </r>
    <r>
      <rPr>
        <sz val="10"/>
        <rFont val="Arial"/>
        <family val="2"/>
      </rPr>
      <t>]</t>
    </r>
    <r>
      <rPr>
        <vertAlign val="superscript"/>
        <sz val="10"/>
        <rFont val="Arial"/>
        <family val="2"/>
      </rPr>
      <t>6</t>
    </r>
    <r>
      <rPr>
        <sz val="10"/>
        <rFont val="Arial"/>
        <family val="2"/>
      </rPr>
      <t>*[(Mo</t>
    </r>
    <r>
      <rPr>
        <vertAlign val="subscript"/>
        <sz val="10"/>
        <rFont val="Arial"/>
        <family val="2"/>
      </rPr>
      <t>7</t>
    </r>
    <r>
      <rPr>
        <sz val="10"/>
        <rFont val="Arial"/>
        <family val="2"/>
      </rPr>
      <t>O</t>
    </r>
    <r>
      <rPr>
        <vertAlign val="subscript"/>
        <sz val="10"/>
        <rFont val="Arial"/>
        <family val="2"/>
      </rPr>
      <t>24</t>
    </r>
    <r>
      <rPr>
        <sz val="10"/>
        <rFont val="Arial"/>
        <family val="2"/>
      </rPr>
      <t>*4H</t>
    </r>
    <r>
      <rPr>
        <vertAlign val="subscript"/>
        <sz val="10"/>
        <rFont val="Arial"/>
        <family val="2"/>
      </rPr>
      <t>2</t>
    </r>
    <r>
      <rPr>
        <sz val="10"/>
        <rFont val="Arial"/>
        <family val="2"/>
      </rPr>
      <t>O)</t>
    </r>
    <r>
      <rPr>
        <vertAlign val="superscript"/>
        <sz val="10"/>
        <rFont val="Arial"/>
        <family val="2"/>
      </rPr>
      <t>6-</t>
    </r>
    <r>
      <rPr>
        <sz val="10"/>
        <rFont val="Arial"/>
        <family val="2"/>
      </rPr>
      <t>]=36s</t>
    </r>
    <r>
      <rPr>
        <vertAlign val="superscript"/>
        <sz val="10"/>
        <rFont val="Arial"/>
        <family val="2"/>
      </rPr>
      <t>7</t>
    </r>
  </si>
  <si>
    <r>
      <t>Mg(NO</t>
    </r>
    <r>
      <rPr>
        <vertAlign val="subscript"/>
        <sz val="10"/>
        <rFont val="Arial"/>
        <family val="2"/>
      </rPr>
      <t>3</t>
    </r>
    <r>
      <rPr>
        <sz val="10"/>
        <rFont val="Arial"/>
        <family val="2"/>
      </rPr>
      <t>)</t>
    </r>
    <r>
      <rPr>
        <vertAlign val="subscript"/>
        <sz val="10"/>
        <rFont val="Arial"/>
        <family val="2"/>
      </rPr>
      <t>2</t>
    </r>
    <r>
      <rPr>
        <sz val="10"/>
        <rFont val="Arial"/>
        <family val="2"/>
      </rPr>
      <t>*2H</t>
    </r>
    <r>
      <rPr>
        <vertAlign val="subscript"/>
        <sz val="10"/>
        <rFont val="Arial"/>
        <family val="2"/>
      </rPr>
      <t>2</t>
    </r>
    <r>
      <rPr>
        <sz val="10"/>
        <rFont val="Arial"/>
        <family val="2"/>
      </rPr>
      <t>O</t>
    </r>
  </si>
  <si>
    <r>
      <t>[Mg</t>
    </r>
    <r>
      <rPr>
        <vertAlign val="superscript"/>
        <sz val="10"/>
        <rFont val="Arial"/>
        <family val="2"/>
      </rPr>
      <t>2+</t>
    </r>
    <r>
      <rPr>
        <sz val="10"/>
        <rFont val="Arial"/>
        <family val="2"/>
      </rPr>
      <t>]*[2(NO</t>
    </r>
    <r>
      <rPr>
        <vertAlign val="subscript"/>
        <sz val="10"/>
        <rFont val="Arial"/>
        <family val="2"/>
      </rPr>
      <t>3</t>
    </r>
    <r>
      <rPr>
        <vertAlign val="superscript"/>
        <sz val="10"/>
        <rFont val="Arial"/>
        <family val="2"/>
      </rPr>
      <t>-</t>
    </r>
    <r>
      <rPr>
        <sz val="10"/>
        <rFont val="Arial"/>
        <family val="2"/>
      </rPr>
      <t>)*2H</t>
    </r>
    <r>
      <rPr>
        <vertAlign val="subscript"/>
        <sz val="10"/>
        <rFont val="Arial"/>
        <family val="2"/>
      </rPr>
      <t>2</t>
    </r>
    <r>
      <rPr>
        <sz val="10"/>
        <rFont val="Arial"/>
        <family val="2"/>
      </rPr>
      <t>O]</t>
    </r>
    <r>
      <rPr>
        <vertAlign val="superscript"/>
        <sz val="10"/>
        <rFont val="Arial"/>
        <family val="2"/>
      </rPr>
      <t>2</t>
    </r>
    <r>
      <rPr>
        <sz val="10"/>
        <rFont val="Arial"/>
        <family val="2"/>
      </rPr>
      <t>=4s</t>
    </r>
    <r>
      <rPr>
        <vertAlign val="superscript"/>
        <sz val="10"/>
        <rFont val="Arial"/>
        <family val="2"/>
      </rPr>
      <t>3</t>
    </r>
  </si>
  <si>
    <r>
      <t>MgSO</t>
    </r>
    <r>
      <rPr>
        <vertAlign val="subscript"/>
        <sz val="10"/>
        <rFont val="Arial"/>
        <family val="2"/>
      </rPr>
      <t>4</t>
    </r>
  </si>
  <si>
    <r>
      <t>[Mg</t>
    </r>
    <r>
      <rPr>
        <vertAlign val="superscript"/>
        <sz val="10"/>
        <rFont val="Arial"/>
        <family val="2"/>
      </rPr>
      <t>2+</t>
    </r>
    <r>
      <rPr>
        <sz val="10"/>
        <rFont val="Arial"/>
        <family val="2"/>
      </rPr>
      <t>]*[SO</t>
    </r>
    <r>
      <rPr>
        <vertAlign val="subscript"/>
        <sz val="10"/>
        <rFont val="Arial"/>
        <family val="2"/>
      </rPr>
      <t>4</t>
    </r>
    <r>
      <rPr>
        <vertAlign val="superscript"/>
        <sz val="10"/>
        <rFont val="Arial"/>
        <family val="2"/>
      </rPr>
      <t>2-</t>
    </r>
    <r>
      <rPr>
        <sz val="10"/>
        <rFont val="Arial"/>
        <family val="2"/>
      </rPr>
      <t>]=s</t>
    </r>
    <r>
      <rPr>
        <vertAlign val="superscript"/>
        <sz val="10"/>
        <rFont val="Arial"/>
        <family val="2"/>
      </rPr>
      <t>2</t>
    </r>
  </si>
  <si>
    <r>
      <t>Mg(Cl)</t>
    </r>
    <r>
      <rPr>
        <vertAlign val="subscript"/>
        <sz val="10"/>
        <rFont val="Arial"/>
        <family val="2"/>
      </rPr>
      <t>2</t>
    </r>
  </si>
  <si>
    <r>
      <t>[Mg</t>
    </r>
    <r>
      <rPr>
        <vertAlign val="superscript"/>
        <sz val="10"/>
        <rFont val="Arial"/>
        <family val="2"/>
      </rPr>
      <t>2+</t>
    </r>
    <r>
      <rPr>
        <sz val="10"/>
        <rFont val="Arial"/>
        <family val="2"/>
      </rPr>
      <t>]*[2Cl</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</si>
  <si>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Mg(MoO4)</t>
    </r>
    <r>
      <rPr>
        <vertAlign val="subscript"/>
        <sz val="10"/>
        <rFont val="Arial"/>
        <family val="2"/>
      </rPr>
      <t>2</t>
    </r>
  </si>
  <si>
    <r>
      <t>[Mg]*[2MoO</t>
    </r>
    <r>
      <rPr>
        <vertAlign val="subscript"/>
        <sz val="10"/>
        <rFont val="Arial"/>
        <family val="2"/>
      </rPr>
      <t>4</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</si>
  <si>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Cu(NO</t>
    </r>
    <r>
      <rPr>
        <vertAlign val="subscript"/>
        <sz val="10"/>
        <rFont val="Arial"/>
        <family val="2"/>
      </rPr>
      <t>3</t>
    </r>
    <r>
      <rPr>
        <sz val="10"/>
        <rFont val="Arial"/>
        <family val="2"/>
      </rPr>
      <t>)</t>
    </r>
    <r>
      <rPr>
        <vertAlign val="subscript"/>
        <sz val="10"/>
        <rFont val="Arial"/>
        <family val="2"/>
      </rPr>
      <t>2</t>
    </r>
    <r>
      <rPr>
        <sz val="10"/>
        <rFont val="Arial"/>
        <family val="2"/>
      </rPr>
      <t>*3H</t>
    </r>
    <r>
      <rPr>
        <vertAlign val="subscript"/>
        <sz val="10"/>
        <rFont val="Arial"/>
        <family val="2"/>
      </rPr>
      <t>2</t>
    </r>
    <r>
      <rPr>
        <sz val="10"/>
        <rFont val="Arial"/>
        <family val="2"/>
      </rPr>
      <t>O</t>
    </r>
  </si>
  <si>
    <r>
      <t>[Cu</t>
    </r>
    <r>
      <rPr>
        <vertAlign val="superscript"/>
        <sz val="10"/>
        <rFont val="Arial"/>
        <family val="2"/>
      </rPr>
      <t>2+</t>
    </r>
    <r>
      <rPr>
        <sz val="10"/>
        <rFont val="Arial"/>
        <family val="2"/>
      </rPr>
      <t>]*[(2NO</t>
    </r>
    <r>
      <rPr>
        <vertAlign val="subscript"/>
        <sz val="10"/>
        <rFont val="Arial"/>
        <family val="2"/>
      </rPr>
      <t>3</t>
    </r>
    <r>
      <rPr>
        <vertAlign val="superscript"/>
        <sz val="10"/>
        <rFont val="Arial"/>
        <family val="2"/>
      </rPr>
      <t>-</t>
    </r>
    <r>
      <rPr>
        <sz val="10"/>
        <rFont val="Arial"/>
        <family val="2"/>
      </rPr>
      <t>)*3H</t>
    </r>
    <r>
      <rPr>
        <vertAlign val="subscript"/>
        <sz val="10"/>
        <rFont val="Arial"/>
        <family val="2"/>
      </rPr>
      <t>2</t>
    </r>
    <r>
      <rPr>
        <sz val="10"/>
        <rFont val="Arial"/>
        <family val="2"/>
      </rPr>
      <t>O]</t>
    </r>
    <r>
      <rPr>
        <vertAlign val="superscript"/>
        <sz val="10"/>
        <rFont val="Arial"/>
        <family val="2"/>
      </rPr>
      <t>2</t>
    </r>
  </si>
  <si>
    <r>
      <t>CuSO</t>
    </r>
    <r>
      <rPr>
        <vertAlign val="subscript"/>
        <sz val="10"/>
        <rFont val="Arial"/>
        <family val="2"/>
      </rPr>
      <t>4</t>
    </r>
  </si>
  <si>
    <r>
      <t>[Cu</t>
    </r>
    <r>
      <rPr>
        <vertAlign val="superscript"/>
        <sz val="10"/>
        <rFont val="Arial"/>
        <family val="2"/>
      </rPr>
      <t>2+</t>
    </r>
    <r>
      <rPr>
        <sz val="10"/>
        <rFont val="Arial"/>
        <family val="2"/>
      </rPr>
      <t>]*[SO</t>
    </r>
    <r>
      <rPr>
        <vertAlign val="subscript"/>
        <sz val="10"/>
        <rFont val="Arial"/>
        <family val="2"/>
      </rPr>
      <t>4</t>
    </r>
    <r>
      <rPr>
        <vertAlign val="superscript"/>
        <sz val="10"/>
        <rFont val="Arial"/>
        <family val="2"/>
      </rPr>
      <t>2-</t>
    </r>
    <r>
      <rPr>
        <sz val="10"/>
        <rFont val="Arial"/>
        <family val="2"/>
      </rPr>
      <t>]=s</t>
    </r>
    <r>
      <rPr>
        <vertAlign val="superscript"/>
        <sz val="10"/>
        <rFont val="Arial"/>
        <family val="2"/>
      </rPr>
      <t>2</t>
    </r>
  </si>
  <si>
    <r>
      <t>Cu(Cl)</t>
    </r>
    <r>
      <rPr>
        <vertAlign val="subscript"/>
        <sz val="10"/>
        <rFont val="Arial"/>
        <family val="2"/>
      </rPr>
      <t>2</t>
    </r>
  </si>
  <si>
    <r>
      <t>[Cu</t>
    </r>
    <r>
      <rPr>
        <vertAlign val="superscript"/>
        <sz val="10"/>
        <rFont val="Arial"/>
        <family val="2"/>
      </rPr>
      <t>2+</t>
    </r>
    <r>
      <rPr>
        <sz val="10"/>
        <rFont val="Arial"/>
        <family val="2"/>
      </rPr>
      <t>]*[2Cl</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</si>
  <si>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Mn(H</t>
    </r>
    <r>
      <rPr>
        <vertAlign val="subscript"/>
        <sz val="10"/>
        <rFont val="Arial"/>
        <family val="2"/>
      </rPr>
      <t>2</t>
    </r>
    <r>
      <rPr>
        <sz val="10"/>
        <rFont val="Arial"/>
        <family val="2"/>
      </rPr>
      <t>PO</t>
    </r>
    <r>
      <rPr>
        <vertAlign val="subscript"/>
        <sz val="10"/>
        <rFont val="Arial"/>
        <family val="2"/>
      </rPr>
      <t>4</t>
    </r>
    <r>
      <rPr>
        <sz val="10"/>
        <rFont val="Arial"/>
        <family val="2"/>
      </rPr>
      <t>)</t>
    </r>
    <r>
      <rPr>
        <vertAlign val="subscript"/>
        <sz val="10"/>
        <rFont val="Arial"/>
        <family val="2"/>
      </rPr>
      <t>2</t>
    </r>
    <r>
      <rPr>
        <sz val="10"/>
        <rFont val="Arial"/>
        <family val="2"/>
      </rPr>
      <t>*2H</t>
    </r>
    <r>
      <rPr>
        <vertAlign val="subscript"/>
        <sz val="10"/>
        <rFont val="Arial"/>
        <family val="2"/>
      </rPr>
      <t>2</t>
    </r>
    <r>
      <rPr>
        <sz val="10"/>
        <rFont val="Arial"/>
        <family val="2"/>
      </rPr>
      <t>O</t>
    </r>
  </si>
  <si>
    <r>
      <t>[Mn</t>
    </r>
    <r>
      <rPr>
        <vertAlign val="superscript"/>
        <sz val="10"/>
        <rFont val="Arial"/>
        <family val="2"/>
      </rPr>
      <t>2+</t>
    </r>
    <r>
      <rPr>
        <sz val="10"/>
        <rFont val="Arial"/>
        <family val="2"/>
      </rPr>
      <t>]*[2(H</t>
    </r>
    <r>
      <rPr>
        <vertAlign val="subscript"/>
        <sz val="10"/>
        <rFont val="Arial"/>
        <family val="2"/>
      </rPr>
      <t>2</t>
    </r>
    <r>
      <rPr>
        <sz val="10"/>
        <rFont val="Arial"/>
        <family val="2"/>
      </rPr>
      <t>PO</t>
    </r>
    <r>
      <rPr>
        <vertAlign val="subscript"/>
        <sz val="10"/>
        <rFont val="Arial"/>
        <family val="2"/>
      </rPr>
      <t>4</t>
    </r>
    <r>
      <rPr>
        <vertAlign val="superscript"/>
        <sz val="10"/>
        <rFont val="Arial"/>
        <family val="2"/>
      </rPr>
      <t>-</t>
    </r>
    <r>
      <rPr>
        <sz val="10"/>
        <rFont val="Arial"/>
        <family val="2"/>
      </rPr>
      <t>)*2H</t>
    </r>
    <r>
      <rPr>
        <vertAlign val="subscript"/>
        <sz val="10"/>
        <rFont val="Arial"/>
        <family val="2"/>
      </rPr>
      <t>2</t>
    </r>
    <r>
      <rPr>
        <sz val="10"/>
        <rFont val="Arial"/>
        <family val="2"/>
      </rPr>
      <t>O]</t>
    </r>
    <r>
      <rPr>
        <vertAlign val="superscript"/>
        <sz val="10"/>
        <rFont val="Arial"/>
        <family val="2"/>
      </rPr>
      <t>2</t>
    </r>
    <r>
      <rPr>
        <sz val="10"/>
        <rFont val="Arial"/>
        <family val="2"/>
      </rPr>
      <t>=4s</t>
    </r>
    <r>
      <rPr>
        <vertAlign val="superscript"/>
        <sz val="10"/>
        <rFont val="Arial"/>
        <family val="2"/>
      </rPr>
      <t>3</t>
    </r>
  </si>
  <si>
    <r>
      <t>MnSO</t>
    </r>
    <r>
      <rPr>
        <vertAlign val="subscript"/>
        <sz val="10"/>
        <rFont val="Arial"/>
        <family val="2"/>
      </rPr>
      <t>4</t>
    </r>
  </si>
  <si>
    <r>
      <t>[Mn</t>
    </r>
    <r>
      <rPr>
        <vertAlign val="superscript"/>
        <sz val="10"/>
        <rFont val="Arial"/>
        <family val="2"/>
      </rPr>
      <t>2+</t>
    </r>
    <r>
      <rPr>
        <sz val="10"/>
        <rFont val="Arial"/>
        <family val="2"/>
      </rPr>
      <t>]*[SO</t>
    </r>
    <r>
      <rPr>
        <vertAlign val="subscript"/>
        <sz val="10"/>
        <rFont val="Arial"/>
        <family val="2"/>
      </rPr>
      <t>4</t>
    </r>
    <r>
      <rPr>
        <vertAlign val="superscript"/>
        <sz val="10"/>
        <rFont val="Arial"/>
        <family val="2"/>
      </rPr>
      <t>2-</t>
    </r>
    <r>
      <rPr>
        <sz val="10"/>
        <rFont val="Arial"/>
        <family val="2"/>
      </rPr>
      <t>]=s</t>
    </r>
    <r>
      <rPr>
        <vertAlign val="superscript"/>
        <sz val="10"/>
        <rFont val="Arial"/>
        <family val="2"/>
      </rPr>
      <t>2</t>
    </r>
  </si>
  <si>
    <r>
      <t>Mn(Cl)</t>
    </r>
    <r>
      <rPr>
        <vertAlign val="subscript"/>
        <sz val="10"/>
        <rFont val="Arial"/>
        <family val="2"/>
      </rPr>
      <t>2</t>
    </r>
    <r>
      <rPr>
        <sz val="10"/>
        <rFont val="Arial"/>
        <family val="2"/>
      </rPr>
      <t>*4H</t>
    </r>
    <r>
      <rPr>
        <vertAlign val="subscript"/>
        <sz val="10"/>
        <rFont val="Arial"/>
        <family val="2"/>
      </rPr>
      <t>2</t>
    </r>
    <r>
      <rPr>
        <sz val="10"/>
        <rFont val="Arial"/>
        <family val="2"/>
      </rPr>
      <t>O</t>
    </r>
  </si>
  <si>
    <r>
      <t>[Mn</t>
    </r>
    <r>
      <rPr>
        <vertAlign val="superscript"/>
        <sz val="10"/>
        <rFont val="Arial"/>
        <family val="2"/>
      </rPr>
      <t>2+</t>
    </r>
    <r>
      <rPr>
        <sz val="10"/>
        <rFont val="Arial"/>
        <family val="2"/>
      </rPr>
      <t>]*[2Cl</t>
    </r>
    <r>
      <rPr>
        <vertAlign val="superscript"/>
        <sz val="10"/>
        <rFont val="Arial"/>
        <family val="2"/>
      </rPr>
      <t>-</t>
    </r>
    <r>
      <rPr>
        <sz val="10"/>
        <rFont val="Arial"/>
        <family val="2"/>
      </rPr>
      <t>*4H</t>
    </r>
    <r>
      <rPr>
        <vertAlign val="subscript"/>
        <sz val="10"/>
        <rFont val="Arial"/>
        <family val="2"/>
      </rPr>
      <t>2</t>
    </r>
    <r>
      <rPr>
        <sz val="10"/>
        <rFont val="Arial"/>
        <family val="2"/>
      </rPr>
      <t>O]</t>
    </r>
    <r>
      <rPr>
        <vertAlign val="superscript"/>
        <sz val="10"/>
        <rFont val="Arial"/>
        <family val="2"/>
      </rPr>
      <t>2</t>
    </r>
    <r>
      <rPr>
        <sz val="10"/>
        <rFont val="Arial"/>
        <family val="2"/>
      </rPr>
      <t>=4s</t>
    </r>
    <r>
      <rPr>
        <vertAlign val="superscript"/>
        <sz val="10"/>
        <rFont val="Arial"/>
        <family val="2"/>
      </rPr>
      <t>3</t>
    </r>
  </si>
  <si>
    <r>
      <t>Zn(NO3)</t>
    </r>
    <r>
      <rPr>
        <vertAlign val="subscript"/>
        <sz val="10"/>
        <rFont val="Arial"/>
        <family val="2"/>
      </rPr>
      <t>2*</t>
    </r>
    <r>
      <rPr>
        <sz val="10"/>
        <rFont val="Arial"/>
        <family val="2"/>
      </rPr>
      <t>6H</t>
    </r>
    <r>
      <rPr>
        <vertAlign val="subscript"/>
        <sz val="10"/>
        <rFont val="Arial"/>
        <family val="2"/>
      </rPr>
      <t>2</t>
    </r>
    <r>
      <rPr>
        <sz val="10"/>
        <rFont val="Arial"/>
        <family val="2"/>
      </rPr>
      <t>O</t>
    </r>
  </si>
  <si>
    <r>
      <t>[Zn</t>
    </r>
    <r>
      <rPr>
        <vertAlign val="superscript"/>
        <sz val="10"/>
        <rFont val="Arial"/>
        <family val="2"/>
      </rPr>
      <t>2+</t>
    </r>
    <r>
      <rPr>
        <sz val="10"/>
        <rFont val="Arial"/>
        <family val="2"/>
      </rPr>
      <t>]*[2NO</t>
    </r>
    <r>
      <rPr>
        <vertAlign val="subscript"/>
        <sz val="10"/>
        <rFont val="Arial"/>
        <family val="2"/>
      </rPr>
      <t>3</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</si>
  <si>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Zn(H</t>
    </r>
    <r>
      <rPr>
        <vertAlign val="subscript"/>
        <sz val="10"/>
        <rFont val="Arial"/>
        <family val="2"/>
      </rPr>
      <t>2</t>
    </r>
    <r>
      <rPr>
        <sz val="10"/>
        <rFont val="Arial"/>
        <family val="2"/>
      </rPr>
      <t>PO</t>
    </r>
    <r>
      <rPr>
        <vertAlign val="subscript"/>
        <sz val="10"/>
        <rFont val="Arial"/>
        <family val="2"/>
      </rPr>
      <t>4</t>
    </r>
    <r>
      <rPr>
        <sz val="10"/>
        <rFont val="Arial"/>
        <family val="2"/>
      </rPr>
      <t>)</t>
    </r>
    <r>
      <rPr>
        <vertAlign val="subscript"/>
        <sz val="10"/>
        <rFont val="Arial"/>
        <family val="2"/>
      </rPr>
      <t>2</t>
    </r>
    <r>
      <rPr>
        <sz val="10"/>
        <rFont val="Arial"/>
        <family val="2"/>
      </rPr>
      <t>*2H</t>
    </r>
    <r>
      <rPr>
        <vertAlign val="subscript"/>
        <sz val="10"/>
        <rFont val="Arial"/>
        <family val="2"/>
      </rPr>
      <t>2</t>
    </r>
    <r>
      <rPr>
        <sz val="10"/>
        <rFont val="Arial"/>
        <family val="2"/>
      </rPr>
      <t>O</t>
    </r>
  </si>
  <si>
    <r>
      <t>[Zn2+]*[(2H</t>
    </r>
    <r>
      <rPr>
        <vertAlign val="subscript"/>
        <sz val="10"/>
        <rFont val="Arial"/>
        <family val="2"/>
      </rPr>
      <t>2</t>
    </r>
    <r>
      <rPr>
        <sz val="10"/>
        <rFont val="Arial"/>
        <family val="2"/>
      </rPr>
      <t>PO</t>
    </r>
    <r>
      <rPr>
        <vertAlign val="subscript"/>
        <sz val="10"/>
        <rFont val="Arial"/>
        <family val="2"/>
      </rPr>
      <t>4</t>
    </r>
    <r>
      <rPr>
        <vertAlign val="superscript"/>
        <sz val="10"/>
        <rFont val="Arial"/>
        <family val="2"/>
      </rPr>
      <t>-</t>
    </r>
    <r>
      <rPr>
        <sz val="10"/>
        <rFont val="Arial"/>
        <family val="2"/>
      </rPr>
      <t>)*2H</t>
    </r>
    <r>
      <rPr>
        <vertAlign val="subscript"/>
        <sz val="10"/>
        <rFont val="Arial"/>
        <family val="2"/>
      </rPr>
      <t>2</t>
    </r>
    <r>
      <rPr>
        <sz val="10"/>
        <rFont val="Arial"/>
        <family val="2"/>
      </rPr>
      <t>O]</t>
    </r>
    <r>
      <rPr>
        <vertAlign val="superscript"/>
        <sz val="10"/>
        <rFont val="Arial"/>
        <family val="2"/>
      </rPr>
      <t>2</t>
    </r>
    <r>
      <rPr>
        <sz val="10"/>
        <rFont val="Arial"/>
        <family val="2"/>
      </rPr>
      <t>=4s</t>
    </r>
    <r>
      <rPr>
        <vertAlign val="superscript"/>
        <sz val="10"/>
        <rFont val="Arial"/>
        <family val="2"/>
      </rPr>
      <t>3</t>
    </r>
  </si>
  <si>
    <r>
      <t>ZnSO</t>
    </r>
    <r>
      <rPr>
        <vertAlign val="subscript"/>
        <sz val="10"/>
        <rFont val="Arial"/>
        <family val="2"/>
      </rPr>
      <t>4</t>
    </r>
    <r>
      <rPr>
        <sz val="10"/>
        <rFont val="Arial"/>
        <family val="2"/>
      </rPr>
      <t>*7H</t>
    </r>
    <r>
      <rPr>
        <vertAlign val="subscript"/>
        <sz val="10"/>
        <rFont val="Arial"/>
        <family val="2"/>
      </rPr>
      <t>2</t>
    </r>
    <r>
      <rPr>
        <sz val="10"/>
        <rFont val="Arial"/>
        <family val="2"/>
      </rPr>
      <t>O</t>
    </r>
  </si>
  <si>
    <r>
      <t>[Zn</t>
    </r>
    <r>
      <rPr>
        <vertAlign val="superscript"/>
        <sz val="10"/>
        <rFont val="Arial"/>
        <family val="2"/>
      </rPr>
      <t>2+</t>
    </r>
    <r>
      <rPr>
        <sz val="10"/>
        <rFont val="Arial"/>
        <family val="2"/>
      </rPr>
      <t>]*[(SO</t>
    </r>
    <r>
      <rPr>
        <vertAlign val="subscript"/>
        <sz val="10"/>
        <rFont val="Arial"/>
        <family val="2"/>
      </rPr>
      <t>4</t>
    </r>
    <r>
      <rPr>
        <vertAlign val="superscript"/>
        <sz val="10"/>
        <rFont val="Arial"/>
        <family val="2"/>
      </rPr>
      <t>2-</t>
    </r>
    <r>
      <rPr>
        <sz val="10"/>
        <rFont val="Arial"/>
        <family val="2"/>
      </rPr>
      <t>)*7H</t>
    </r>
    <r>
      <rPr>
        <vertAlign val="subscript"/>
        <sz val="10"/>
        <rFont val="Arial"/>
        <family val="2"/>
      </rPr>
      <t>2</t>
    </r>
    <r>
      <rPr>
        <sz val="10"/>
        <rFont val="Arial"/>
        <family val="2"/>
      </rPr>
      <t>O]=s</t>
    </r>
    <r>
      <rPr>
        <vertAlign val="superscript"/>
        <sz val="10"/>
        <rFont val="Arial"/>
        <family val="2"/>
      </rPr>
      <t>2</t>
    </r>
  </si>
  <si>
    <r>
      <t>Zn(Cl)</t>
    </r>
    <r>
      <rPr>
        <vertAlign val="subscript"/>
        <sz val="10"/>
        <rFont val="Arial"/>
        <family val="2"/>
      </rPr>
      <t>2</t>
    </r>
  </si>
  <si>
    <r>
      <t>[Zn</t>
    </r>
    <r>
      <rPr>
        <vertAlign val="superscript"/>
        <sz val="10"/>
        <rFont val="Arial"/>
        <family val="2"/>
      </rPr>
      <t>2+</t>
    </r>
    <r>
      <rPr>
        <sz val="10"/>
        <rFont val="Arial"/>
        <family val="2"/>
      </rPr>
      <t>]*[2Cl</t>
    </r>
    <r>
      <rPr>
        <vertAlign val="superscript"/>
        <sz val="10"/>
        <rFont val="Arial"/>
        <family val="2"/>
      </rPr>
      <t>-</t>
    </r>
    <r>
      <rPr>
        <sz val="10"/>
        <rFont val="Arial"/>
        <family val="2"/>
      </rPr>
      <t>]</t>
    </r>
    <r>
      <rPr>
        <vertAlign val="superscript"/>
        <sz val="10"/>
        <rFont val="Arial"/>
        <family val="2"/>
      </rPr>
      <t>2</t>
    </r>
    <r>
      <rPr>
        <sz val="10"/>
        <rFont val="Arial"/>
        <family val="2"/>
      </rPr>
      <t>=4s</t>
    </r>
    <r>
      <rPr>
        <vertAlign val="superscript"/>
        <sz val="10"/>
        <rFont val="Arial"/>
        <family val="2"/>
      </rPr>
      <t>3</t>
    </r>
  </si>
  <si>
    <r>
      <t>N-NO</t>
    </r>
    <r>
      <rPr>
        <b/>
        <vertAlign val="subscript"/>
        <sz val="10"/>
        <rFont val="Arial"/>
        <family val="2"/>
      </rPr>
      <t>3</t>
    </r>
  </si>
  <si>
    <r>
      <t>N-NH</t>
    </r>
    <r>
      <rPr>
        <b/>
        <vertAlign val="subscript"/>
        <sz val="10"/>
        <rFont val="Arial"/>
        <family val="2"/>
      </rPr>
      <t>4</t>
    </r>
  </si>
  <si>
    <r>
      <t>P-PO</t>
    </r>
    <r>
      <rPr>
        <b/>
        <vertAlign val="subscript"/>
        <sz val="10"/>
        <rFont val="Arial"/>
        <family val="2"/>
      </rPr>
      <t>4</t>
    </r>
  </si>
  <si>
    <t>MW</t>
  </si>
  <si>
    <t>Solubility product</t>
  </si>
  <si>
    <t>Calculated Kps</t>
  </si>
  <si>
    <t>To convert ppm in mM (macroelements) or  uM ( Fe, Zn, Mn, Cu, B, Mo),insert the ppm value in  yellow cell.</t>
  </si>
  <si>
    <t>The results of conversions are shown in green cells.</t>
  </si>
  <si>
    <t>K:Ca:Mg ratio (expressed in milliequivalents)</t>
  </si>
  <si>
    <t>Iron  EDTA</t>
  </si>
  <si>
    <t>Iron  DPTA</t>
  </si>
  <si>
    <t>Iron EDDHA</t>
  </si>
  <si>
    <t>Microelements MIX 2</t>
  </si>
  <si>
    <t>Microelements MIX 1</t>
  </si>
  <si>
    <t>8) Potassium</t>
  </si>
  <si>
    <t xml:space="preserve">  X</t>
  </si>
  <si>
    <r>
      <t>S-SO</t>
    </r>
    <r>
      <rPr>
        <b/>
        <vertAlign val="subscript"/>
        <sz val="11"/>
        <rFont val="Arial"/>
        <family val="2"/>
      </rPr>
      <t>4</t>
    </r>
  </si>
  <si>
    <r>
      <t>N-NO</t>
    </r>
    <r>
      <rPr>
        <b/>
        <vertAlign val="subscript"/>
        <sz val="11"/>
        <rFont val="Arial"/>
        <family val="2"/>
      </rPr>
      <t>3</t>
    </r>
  </si>
  <si>
    <t xml:space="preserve">NS CALCULATOR </t>
  </si>
  <si>
    <t>NS CALCULATOR Quick Start Guide (by Luca Incrocci)</t>
  </si>
  <si>
    <t>Luca INCROCCI, University of Pisa, Italy</t>
  </si>
  <si>
    <t>Tomato: Stage: Single</t>
  </si>
  <si>
    <r>
      <t>corresponding to Euro/m</t>
    </r>
    <r>
      <rPr>
        <b/>
        <vertAlign val="superscript"/>
        <sz val="14"/>
        <rFont val="Arial"/>
        <family val="2"/>
      </rPr>
      <t>3</t>
    </r>
    <r>
      <rPr>
        <b/>
        <sz val="14"/>
        <rFont val="Arial"/>
        <family val="2"/>
      </rPr>
      <t>:</t>
    </r>
  </si>
  <si>
    <r>
      <t xml:space="preserve">Acknowledgements: 
</t>
    </r>
    <r>
      <rPr>
        <b/>
        <sz val="12"/>
        <rFont val="Arial"/>
        <family val="2"/>
      </rPr>
      <t>EUPHOROS, "Efficient use of inputs in protected horticulture", EU-FP7-KBBE-2007-1 (grant n° 211457)</t>
    </r>
    <r>
      <rPr>
        <sz val="12"/>
        <rFont val="Arial"/>
        <family val="2"/>
      </rPr>
      <t xml:space="preserve">
</t>
    </r>
  </si>
  <si>
    <t>Ionic ratios (expressed in milliequivalent)</t>
  </si>
  <si>
    <t>Y</t>
  </si>
  <si>
    <t>Disclaimer</t>
  </si>
  <si>
    <t>Start &gt;&gt;</t>
  </si>
  <si>
    <t>About this tool</t>
  </si>
  <si>
    <t>Nutrient solution (NS) calculator is a EXCEL™ spreadsheet developed Dr. Luca Incrocci (Dipartimento di Biologia delle Piante Agrarie, University of Pisa) to assist growers and consultants in the calculation of salt concentration of nutrient stock solutions.</t>
  </si>
  <si>
    <t>This software is available free of charge.  No commercial use, reproduction or distribution is permitted. The developer is not responsible for any kind of damages caused by the use of the software. The entire risk regarding uses, outputs, analyses, results and performance of the software is assumed by the user. The user raises the developer from any liability, expressed or implied, arising out of the application itself.</t>
  </si>
  <si>
    <r>
      <rPr>
        <b/>
        <sz val="12"/>
        <rFont val="Arial"/>
        <family val="2"/>
      </rPr>
      <t xml:space="preserve">Acknowledgements: </t>
    </r>
    <r>
      <rPr>
        <sz val="12"/>
        <rFont val="Arial"/>
        <family val="2"/>
      </rPr>
      <t xml:space="preserve">
</t>
    </r>
    <r>
      <rPr>
        <b/>
        <sz val="12"/>
        <rFont val="Arial"/>
        <family val="2"/>
      </rPr>
      <t>EUPHOROS, "Efficient use of inputs in protected horticulture", EU-FP7-KBBE-2007-1 (grant n° 211457).</t>
    </r>
    <r>
      <rPr>
        <sz val="12"/>
        <rFont val="Arial"/>
        <family val="2"/>
      </rPr>
      <t xml:space="preserve">
</t>
    </r>
  </si>
  <si>
    <t>NUTRIENT SOLUTION (NS)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</si>
</sst>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9" formatCode="_-* #,##0_-;\-* #,##0_-;_-* &quot;-&quot;_-;_-@_-"/>
    <numFmt numFmtId="171" formatCode="_-* #,##0.00_-;\-* #,##0.00_-;_-* &quot;-&quot;??_-;_-@_-"/>
    <numFmt numFmtId="172" formatCode="0.000"/>
    <numFmt numFmtId="173" formatCode="0.0"/>
    <numFmt numFmtId="174" formatCode="_-* #,##0.0_-;\-* #,##0.0_-;_-* &quot;-&quot;_-;_-@_-"/>
    <numFmt numFmtId="175" formatCode="_-* #,##0.00_-;\-* #,##0.00_-;_-* &quot;-&quot;_-;_-@_-"/>
    <numFmt numFmtId="176" formatCode="_-* #,##0.000_-;\-* #,##0.000_-;_-* &quot;-&quot;_-;_-@_-"/>
    <numFmt numFmtId="177" formatCode="0.00000"/>
    <numFmt numFmtId="178" formatCode="0.0000"/>
    <numFmt numFmtId="179" formatCode="_-* #,##0.00_-;\-* #,##0.00_-;_-* &quot;-&quot;?_-;_-@_-"/>
    <numFmt numFmtId="180" formatCode="_-* #,##0.000_-;\-* #,##0.000_-;_-* &quot;-&quot;?_-;_-@_-"/>
    <numFmt numFmtId="181" formatCode="_-* #,##0.0_-;\-* #,##0.0_-;_-* &quot;-&quot;??_-;_-@_-"/>
    <numFmt numFmtId="182" formatCode="0.0_ ;\-0.0\ "/>
    <numFmt numFmtId="183" formatCode="0.00_ ;\-0.00\ "/>
    <numFmt numFmtId="184" formatCode="#,##0.00_ ;\-#,##0.00\ "/>
  </numFmts>
  <fonts count="86">
    <font>
      <sz val="10"/>
      <name val="Comic Sans MS"/>
      <family val="4"/>
    </font>
    <font>
      <sz val="10"/>
      <name val="Arial"/>
      <family val="2"/>
    </font>
    <font>
      <sz val="8"/>
      <color indexed="81"/>
      <name val="Tahoma"/>
      <family val="2"/>
    </font>
    <font>
      <b/>
      <sz val="8"/>
      <color indexed="81"/>
      <name val="Tahoma"/>
      <family val="2"/>
    </font>
    <font>
      <sz val="12"/>
      <name val="Comic Sans MS"/>
      <family val="4"/>
    </font>
    <font>
      <b/>
      <sz val="10"/>
      <color indexed="10"/>
      <name val="Arial"/>
      <family val="2"/>
    </font>
    <font>
      <sz val="8"/>
      <name val="Comic Sans MS"/>
      <family val="4"/>
    </font>
    <font>
      <sz val="12"/>
      <color indexed="81"/>
      <name val="Comic Sans MS"/>
      <family val="4"/>
    </font>
    <font>
      <b/>
      <sz val="12"/>
      <color indexed="81"/>
      <name val="Comic Sans MS"/>
      <family val="4"/>
    </font>
    <font>
      <b/>
      <sz val="12"/>
      <name val="Arial"/>
      <family val="2"/>
    </font>
    <font>
      <u/>
      <sz val="6.5"/>
      <color indexed="12"/>
      <name val="Comic Sans MS"/>
      <family val="4"/>
    </font>
    <font>
      <sz val="11"/>
      <color indexed="81"/>
      <name val="Comic Sans MS"/>
      <family val="4"/>
    </font>
    <font>
      <b/>
      <sz val="12"/>
      <color indexed="8"/>
      <name val="Arial"/>
      <family val="2"/>
    </font>
    <font>
      <b/>
      <u/>
      <sz val="12"/>
      <color indexed="81"/>
      <name val="Comic Sans MS"/>
      <family val="4"/>
    </font>
    <font>
      <b/>
      <sz val="12"/>
      <color indexed="8"/>
      <name val="Arial"/>
      <family val="2"/>
    </font>
    <font>
      <sz val="10"/>
      <name val="Arial"/>
      <family val="2"/>
    </font>
    <font>
      <b/>
      <sz val="18"/>
      <color indexed="10"/>
      <name val="Arial"/>
      <family val="2"/>
    </font>
    <font>
      <b/>
      <sz val="20"/>
      <color indexed="10"/>
      <name val="Arial"/>
      <family val="2"/>
    </font>
    <font>
      <b/>
      <sz val="13"/>
      <color indexed="10"/>
      <name val="Arial"/>
      <family val="2"/>
    </font>
    <font>
      <b/>
      <u/>
      <sz val="12"/>
      <color indexed="18"/>
      <name val="Arial"/>
      <family val="2"/>
    </font>
    <font>
      <b/>
      <u/>
      <sz val="12"/>
      <color indexed="8"/>
      <name val="Arial"/>
      <family val="2"/>
    </font>
    <font>
      <b/>
      <sz val="14"/>
      <color indexed="10"/>
      <name val="Arial"/>
      <family val="2"/>
    </font>
    <font>
      <b/>
      <sz val="12"/>
      <name val="Arial"/>
      <family val="2"/>
    </font>
    <font>
      <sz val="12"/>
      <name val="Arial"/>
      <family val="2"/>
    </font>
    <font>
      <b/>
      <vertAlign val="subscript"/>
      <sz val="10"/>
      <name val="Arial"/>
      <family val="2"/>
    </font>
    <font>
      <b/>
      <vertAlign val="superscript"/>
      <sz val="10"/>
      <name val="Arial"/>
      <family val="2"/>
    </font>
    <font>
      <b/>
      <vertAlign val="subscript"/>
      <sz val="12"/>
      <name val="Arial"/>
      <family val="2"/>
    </font>
    <font>
      <b/>
      <vertAlign val="subscript"/>
      <sz val="11"/>
      <name val="Arial"/>
      <family val="2"/>
    </font>
    <font>
      <b/>
      <sz val="12"/>
      <color indexed="10"/>
      <name val="Arial"/>
      <family val="2"/>
    </font>
    <font>
      <b/>
      <sz val="10"/>
      <name val="Arial"/>
      <family val="2"/>
    </font>
    <font>
      <i/>
      <sz val="12"/>
      <name val="Arial"/>
      <family val="2"/>
    </font>
    <font>
      <i/>
      <sz val="11"/>
      <name val="Arial"/>
      <family val="2"/>
    </font>
    <font>
      <b/>
      <sz val="10"/>
      <color indexed="10"/>
      <name val="Arial"/>
      <family val="2"/>
    </font>
    <font>
      <b/>
      <sz val="14"/>
      <name val="Arial"/>
      <family val="2"/>
    </font>
    <font>
      <b/>
      <i/>
      <sz val="8"/>
      <color indexed="10"/>
      <name val="Arial"/>
      <family val="2"/>
    </font>
    <font>
      <b/>
      <sz val="14"/>
      <color indexed="8"/>
      <name val="Arial"/>
      <family val="2"/>
    </font>
    <font>
      <b/>
      <sz val="14"/>
      <color indexed="53"/>
      <name val="Arial"/>
      <family val="2"/>
    </font>
    <font>
      <sz val="14"/>
      <name val="Arial"/>
      <family val="2"/>
    </font>
    <font>
      <sz val="12"/>
      <color indexed="8"/>
      <name val="Arial"/>
      <family val="2"/>
    </font>
    <font>
      <sz val="12"/>
      <color indexed="10"/>
      <name val="Arial"/>
      <family val="2"/>
    </font>
    <font>
      <b/>
      <i/>
      <sz val="12"/>
      <color indexed="10"/>
      <name val="Arial"/>
      <family val="2"/>
    </font>
    <font>
      <b/>
      <i/>
      <sz val="12"/>
      <name val="Arial"/>
      <family val="2"/>
    </font>
    <font>
      <b/>
      <sz val="12"/>
      <color indexed="18"/>
      <name val="Arial"/>
      <family val="2"/>
    </font>
    <font>
      <b/>
      <sz val="11"/>
      <name val="Arial"/>
      <family val="2"/>
    </font>
    <font>
      <b/>
      <vertAlign val="subscript"/>
      <sz val="9"/>
      <name val="Arial"/>
      <family val="2"/>
    </font>
    <font>
      <vertAlign val="subscript"/>
      <sz val="12"/>
      <name val="Arial"/>
      <family val="2"/>
    </font>
    <font>
      <b/>
      <sz val="9"/>
      <name val="Arial"/>
      <family val="2"/>
    </font>
    <font>
      <sz val="8"/>
      <name val="Arial"/>
      <family val="2"/>
    </font>
    <font>
      <sz val="11"/>
      <name val="Arial"/>
      <family val="2"/>
    </font>
    <font>
      <vertAlign val="subscript"/>
      <sz val="11"/>
      <name val="Arial"/>
      <family val="2"/>
    </font>
    <font>
      <sz val="9"/>
      <name val="Arial"/>
      <family val="2"/>
    </font>
    <font>
      <b/>
      <u/>
      <sz val="11"/>
      <color indexed="18"/>
      <name val="Arial"/>
      <family val="2"/>
    </font>
    <font>
      <b/>
      <sz val="8"/>
      <name val="Arial"/>
      <family val="2"/>
    </font>
    <font>
      <sz val="7"/>
      <name val="Arial"/>
      <family val="2"/>
    </font>
    <font>
      <vertAlign val="superscript"/>
      <sz val="12"/>
      <name val="Arial"/>
      <family val="2"/>
    </font>
    <font>
      <sz val="11"/>
      <color indexed="10"/>
      <name val="Arial"/>
      <family val="2"/>
    </font>
    <font>
      <sz val="11"/>
      <color indexed="8"/>
      <name val="Arial"/>
      <family val="2"/>
    </font>
    <font>
      <sz val="11"/>
      <color indexed="81"/>
      <name val="Arial"/>
      <family val="2"/>
    </font>
    <font>
      <b/>
      <sz val="11"/>
      <color indexed="11"/>
      <name val="Arial"/>
      <family val="2"/>
    </font>
    <font>
      <b/>
      <sz val="11"/>
      <color indexed="10"/>
      <name val="Arial"/>
      <family val="2"/>
    </font>
    <font>
      <b/>
      <sz val="11"/>
      <color indexed="81"/>
      <name val="Arial"/>
      <family val="2"/>
    </font>
    <font>
      <sz val="12"/>
      <color indexed="81"/>
      <name val="Arial"/>
      <family val="2"/>
    </font>
    <font>
      <i/>
      <sz val="12"/>
      <color indexed="81"/>
      <name val="Arial"/>
      <family val="2"/>
    </font>
    <font>
      <sz val="12"/>
      <color indexed="81"/>
      <name val="Arialù"/>
    </font>
    <font>
      <vertAlign val="subscript"/>
      <sz val="12"/>
      <color indexed="81"/>
      <name val="Arial"/>
      <family val="2"/>
    </font>
    <font>
      <b/>
      <sz val="12"/>
      <color indexed="81"/>
      <name val="Arial"/>
      <family val="2"/>
    </font>
    <font>
      <sz val="8"/>
      <color indexed="81"/>
      <name val="Arial"/>
      <family val="2"/>
    </font>
    <font>
      <sz val="10"/>
      <color indexed="81"/>
      <name val="Arial"/>
      <family val="2"/>
    </font>
    <font>
      <b/>
      <sz val="10"/>
      <color indexed="17"/>
      <name val="Arial"/>
      <family val="2"/>
    </font>
    <font>
      <vertAlign val="superscript"/>
      <sz val="11"/>
      <name val="Arial"/>
      <family val="2"/>
    </font>
    <font>
      <b/>
      <sz val="15"/>
      <name val="Arial"/>
      <family val="2"/>
    </font>
    <font>
      <b/>
      <vertAlign val="superscript"/>
      <sz val="14"/>
      <name val="Arial"/>
      <family val="2"/>
    </font>
    <font>
      <sz val="14"/>
      <color indexed="8"/>
      <name val="Arial"/>
      <family val="2"/>
    </font>
    <font>
      <b/>
      <u/>
      <sz val="16"/>
      <name val="Arial"/>
      <family val="2"/>
    </font>
    <font>
      <b/>
      <sz val="16"/>
      <name val="Arial"/>
      <family val="2"/>
    </font>
    <font>
      <b/>
      <vertAlign val="subscript"/>
      <sz val="14"/>
      <name val="Arial"/>
      <family val="2"/>
    </font>
    <font>
      <b/>
      <i/>
      <sz val="14"/>
      <name val="Arial"/>
      <family val="2"/>
    </font>
    <font>
      <sz val="13"/>
      <name val="Arial"/>
      <family val="2"/>
    </font>
    <font>
      <b/>
      <sz val="14"/>
      <color indexed="18"/>
      <name val="Arial"/>
      <family val="2"/>
    </font>
    <font>
      <vertAlign val="subscript"/>
      <sz val="10"/>
      <name val="Arial"/>
      <family val="2"/>
    </font>
    <font>
      <vertAlign val="superscript"/>
      <sz val="10"/>
      <name val="Arial"/>
      <family val="2"/>
    </font>
    <font>
      <b/>
      <sz val="11"/>
      <color indexed="18"/>
      <name val="Arial"/>
      <family val="2"/>
    </font>
    <font>
      <b/>
      <sz val="12"/>
      <color indexed="8"/>
      <name val="Arial"/>
      <family val="2"/>
    </font>
    <font>
      <b/>
      <sz val="14"/>
      <color indexed="8"/>
      <name val="Arial"/>
      <family val="2"/>
    </font>
    <font>
      <sz val="9"/>
      <color indexed="81"/>
      <name val="Tahoma"/>
      <family val="2"/>
    </font>
    <font>
      <u/>
      <sz val="12"/>
      <color theme="1"/>
      <name val="Arial"/>
      <family val="2"/>
    </font>
  </fonts>
  <fills count="14">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indexed="13"/>
        <bgColor indexed="64"/>
      </patternFill>
    </fill>
    <fill>
      <patternFill patternType="solid">
        <fgColor indexed="9"/>
        <bgColor indexed="9"/>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5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171" fontId="1" fillId="0" borderId="0" applyFont="0" applyFill="0" applyBorder="0" applyAlignment="0" applyProtection="0"/>
    <xf numFmtId="169" fontId="1" fillId="0" borderId="0" applyFont="0" applyFill="0" applyBorder="0" applyAlignment="0" applyProtection="0"/>
  </cellStyleXfs>
  <cellXfs count="558">
    <xf numFmtId="0" fontId="0" fillId="0" borderId="0" xfId="0"/>
    <xf numFmtId="0" fontId="5" fillId="0" borderId="0" xfId="0" applyFont="1" applyAlignment="1">
      <alignment vertical="center"/>
    </xf>
    <xf numFmtId="0" fontId="5" fillId="0" borderId="0" xfId="0" applyFont="1" applyAlignment="1" applyProtection="1">
      <alignment vertical="center"/>
    </xf>
    <xf numFmtId="0" fontId="5" fillId="2" borderId="0" xfId="0" applyFont="1" applyFill="1" applyAlignment="1" applyProtection="1">
      <alignment vertical="center"/>
    </xf>
    <xf numFmtId="0" fontId="5" fillId="2" borderId="0" xfId="0" applyFont="1" applyFill="1" applyAlignment="1">
      <alignment vertical="center"/>
    </xf>
    <xf numFmtId="173" fontId="9" fillId="2" borderId="0" xfId="0" applyNumberFormat="1" applyFont="1" applyFill="1" applyProtection="1">
      <protection hidden="1"/>
    </xf>
    <xf numFmtId="0" fontId="9" fillId="2" borderId="0" xfId="0" applyFont="1" applyFill="1" applyProtection="1">
      <protection hidden="1"/>
    </xf>
    <xf numFmtId="173" fontId="12" fillId="2" borderId="0" xfId="0" applyNumberFormat="1" applyFont="1" applyFill="1" applyProtection="1">
      <protection hidden="1"/>
    </xf>
    <xf numFmtId="173" fontId="9" fillId="2" borderId="0" xfId="0" applyNumberFormat="1" applyFont="1" applyFill="1" applyAlignment="1" applyProtection="1">
      <alignment shrinkToFit="1"/>
      <protection hidden="1"/>
    </xf>
    <xf numFmtId="173" fontId="12" fillId="2" borderId="0" xfId="0" applyNumberFormat="1" applyFont="1" applyFill="1" applyAlignment="1" applyProtection="1">
      <alignment shrinkToFit="1"/>
      <protection hidden="1"/>
    </xf>
    <xf numFmtId="0" fontId="5" fillId="2" borderId="0" xfId="0" applyFont="1" applyFill="1" applyAlignment="1">
      <alignment vertical="center" shrinkToFit="1"/>
    </xf>
    <xf numFmtId="175" fontId="9" fillId="2" borderId="0" xfId="0" applyNumberFormat="1" applyFont="1" applyFill="1" applyAlignment="1" applyProtection="1">
      <alignment shrinkToFit="1"/>
      <protection hidden="1"/>
    </xf>
    <xf numFmtId="0" fontId="82" fillId="0" borderId="0" xfId="0" applyFont="1"/>
    <xf numFmtId="0" fontId="15" fillId="2" borderId="0" xfId="0" applyFont="1" applyFill="1"/>
    <xf numFmtId="0" fontId="15" fillId="2" borderId="0" xfId="0" applyFont="1" applyFill="1" applyProtection="1"/>
    <xf numFmtId="0" fontId="15" fillId="0" borderId="0" xfId="0" applyFont="1" applyProtection="1"/>
    <xf numFmtId="0" fontId="15" fillId="0" borderId="0" xfId="0" applyFont="1"/>
    <xf numFmtId="0" fontId="17" fillId="2" borderId="0" xfId="0" applyFont="1" applyFill="1"/>
    <xf numFmtId="0" fontId="15" fillId="2" borderId="0" xfId="0" applyFont="1" applyFill="1" applyBorder="1" applyProtection="1"/>
    <xf numFmtId="0" fontId="15" fillId="2" borderId="0" xfId="0" applyFont="1" applyFill="1" applyBorder="1"/>
    <xf numFmtId="0" fontId="20" fillId="2" borderId="0" xfId="1" applyFont="1" applyFill="1" applyAlignment="1" applyProtection="1"/>
    <xf numFmtId="0" fontId="22" fillId="3" borderId="0" xfId="0" applyFont="1" applyFill="1" applyAlignment="1" applyProtection="1">
      <alignment horizontal="center"/>
    </xf>
    <xf numFmtId="0" fontId="23" fillId="2" borderId="0" xfId="0" applyFont="1" applyFill="1" applyProtection="1"/>
    <xf numFmtId="0" fontId="22" fillId="3" borderId="1" xfId="0" applyFont="1" applyFill="1" applyBorder="1" applyAlignment="1" applyProtection="1">
      <alignment vertical="center"/>
    </xf>
    <xf numFmtId="0" fontId="15" fillId="0" borderId="0" xfId="0" applyFont="1" applyFill="1" applyProtection="1"/>
    <xf numFmtId="2" fontId="23" fillId="0" borderId="1" xfId="0" applyNumberFormat="1" applyFont="1" applyFill="1" applyBorder="1" applyAlignment="1" applyProtection="1">
      <alignment shrinkToFit="1"/>
      <protection hidden="1"/>
    </xf>
    <xf numFmtId="183" fontId="23" fillId="4" borderId="1" xfId="3" applyNumberFormat="1" applyFont="1" applyFill="1" applyBorder="1" applyAlignment="1" applyProtection="1">
      <alignment shrinkToFit="1"/>
      <protection locked="0"/>
    </xf>
    <xf numFmtId="173" fontId="23" fillId="4" borderId="1" xfId="3" applyNumberFormat="1" applyFont="1" applyFill="1" applyBorder="1" applyAlignment="1" applyProtection="1">
      <alignment shrinkToFit="1"/>
      <protection locked="0"/>
    </xf>
    <xf numFmtId="2" fontId="23" fillId="2" borderId="0" xfId="0" applyNumberFormat="1" applyFont="1" applyFill="1" applyBorder="1" applyProtection="1">
      <protection hidden="1"/>
    </xf>
    <xf numFmtId="183" fontId="23" fillId="2" borderId="2" xfId="3" applyNumberFormat="1" applyFont="1" applyFill="1" applyBorder="1" applyProtection="1">
      <protection locked="0"/>
    </xf>
    <xf numFmtId="183" fontId="23" fillId="2" borderId="0" xfId="3" applyNumberFormat="1" applyFont="1" applyFill="1" applyBorder="1" applyProtection="1">
      <protection locked="0"/>
    </xf>
    <xf numFmtId="173" fontId="23" fillId="2" borderId="0" xfId="3" applyNumberFormat="1" applyFont="1" applyFill="1" applyBorder="1" applyProtection="1">
      <protection locked="0"/>
    </xf>
    <xf numFmtId="0" fontId="22" fillId="3" borderId="0" xfId="0" applyFont="1" applyFill="1" applyBorder="1" applyAlignment="1" applyProtection="1">
      <alignment vertical="center"/>
    </xf>
    <xf numFmtId="0" fontId="28" fillId="2" borderId="0" xfId="0" applyFont="1" applyFill="1" applyBorder="1" applyProtection="1">
      <protection hidden="1"/>
    </xf>
    <xf numFmtId="0" fontId="29" fillId="2" borderId="0" xfId="0" applyFont="1" applyFill="1" applyBorder="1" applyProtection="1">
      <protection hidden="1"/>
    </xf>
    <xf numFmtId="0" fontId="15" fillId="2" borderId="3" xfId="0" applyFont="1" applyFill="1" applyBorder="1" applyProtection="1">
      <protection hidden="1"/>
    </xf>
    <xf numFmtId="182" fontId="23" fillId="2" borderId="0" xfId="3" applyNumberFormat="1" applyFont="1" applyFill="1" applyBorder="1" applyProtection="1">
      <protection locked="0"/>
    </xf>
    <xf numFmtId="0" fontId="22" fillId="3" borderId="0" xfId="0" applyFont="1" applyFill="1" applyBorder="1" applyAlignment="1" applyProtection="1">
      <alignment horizontal="center"/>
    </xf>
    <xf numFmtId="0" fontId="15" fillId="2" borderId="4" xfId="0" applyFont="1" applyFill="1" applyBorder="1"/>
    <xf numFmtId="2" fontId="22" fillId="2" borderId="5" xfId="0" applyNumberFormat="1" applyFont="1" applyFill="1" applyBorder="1" applyProtection="1">
      <protection hidden="1"/>
    </xf>
    <xf numFmtId="2" fontId="22" fillId="2" borderId="6" xfId="0" applyNumberFormat="1" applyFont="1" applyFill="1" applyBorder="1" applyProtection="1">
      <protection hidden="1"/>
    </xf>
    <xf numFmtId="2" fontId="22" fillId="2" borderId="0" xfId="0" applyNumberFormat="1" applyFont="1" applyFill="1" applyBorder="1" applyProtection="1">
      <protection hidden="1"/>
    </xf>
    <xf numFmtId="2" fontId="22" fillId="2" borderId="7" xfId="0" applyNumberFormat="1" applyFont="1" applyFill="1" applyBorder="1" applyProtection="1">
      <protection hidden="1"/>
    </xf>
    <xf numFmtId="2" fontId="23" fillId="2" borderId="0" xfId="3" applyNumberFormat="1" applyFont="1" applyFill="1" applyBorder="1" applyProtection="1">
      <protection locked="0"/>
    </xf>
    <xf numFmtId="182" fontId="23" fillId="2" borderId="8" xfId="3" applyNumberFormat="1" applyFont="1" applyFill="1" applyBorder="1" applyProtection="1">
      <protection locked="0"/>
    </xf>
    <xf numFmtId="0" fontId="28" fillId="2" borderId="0" xfId="0" applyFont="1" applyFill="1" applyBorder="1" applyProtection="1"/>
    <xf numFmtId="0" fontId="28" fillId="2" borderId="1" xfId="0" applyNumberFormat="1" applyFont="1" applyFill="1" applyBorder="1" applyProtection="1">
      <protection hidden="1"/>
    </xf>
    <xf numFmtId="0" fontId="21" fillId="2" borderId="0" xfId="0" applyFont="1" applyFill="1" applyProtection="1"/>
    <xf numFmtId="0" fontId="22" fillId="2" borderId="0" xfId="0" applyFont="1" applyFill="1" applyAlignment="1" applyProtection="1">
      <alignment horizontal="center"/>
    </xf>
    <xf numFmtId="49" fontId="23" fillId="2" borderId="0" xfId="0" applyNumberFormat="1" applyFont="1" applyFill="1" applyProtection="1"/>
    <xf numFmtId="0" fontId="23" fillId="2" borderId="0" xfId="0" quotePrefix="1" applyFont="1" applyFill="1" applyAlignment="1" applyProtection="1">
      <alignment horizontal="right"/>
    </xf>
    <xf numFmtId="0" fontId="23" fillId="4" borderId="9" xfId="0" applyFont="1" applyFill="1" applyBorder="1" applyAlignment="1" applyProtection="1">
      <alignment shrinkToFit="1"/>
      <protection locked="0"/>
    </xf>
    <xf numFmtId="0" fontId="15" fillId="2" borderId="10" xfId="0" applyFont="1" applyFill="1" applyBorder="1" applyProtection="1"/>
    <xf numFmtId="0" fontId="23" fillId="4" borderId="11" xfId="0" applyFont="1" applyFill="1" applyBorder="1" applyAlignment="1" applyProtection="1">
      <alignment shrinkToFit="1"/>
      <protection locked="0"/>
    </xf>
    <xf numFmtId="0" fontId="23" fillId="0" borderId="0" xfId="0" applyFont="1" applyProtection="1"/>
    <xf numFmtId="0" fontId="15" fillId="2" borderId="0" xfId="0" applyFont="1" applyFill="1" applyProtection="1">
      <protection locked="0"/>
    </xf>
    <xf numFmtId="0" fontId="23" fillId="0" borderId="0" xfId="0" applyFont="1" applyProtection="1">
      <protection locked="0"/>
    </xf>
    <xf numFmtId="0" fontId="23" fillId="2" borderId="0" xfId="0" applyFont="1" applyFill="1" applyProtection="1">
      <protection locked="0"/>
    </xf>
    <xf numFmtId="0" fontId="23" fillId="2" borderId="12" xfId="0" applyFont="1" applyFill="1" applyBorder="1" applyProtection="1"/>
    <xf numFmtId="0" fontId="15" fillId="5" borderId="0" xfId="0" applyFont="1" applyFill="1" applyBorder="1" applyProtection="1"/>
    <xf numFmtId="0" fontId="22" fillId="5" borderId="0" xfId="0" applyFont="1" applyFill="1" applyBorder="1" applyProtection="1"/>
    <xf numFmtId="0" fontId="22" fillId="2" borderId="1" xfId="0" applyFont="1" applyFill="1" applyBorder="1" applyProtection="1">
      <protection locked="0"/>
    </xf>
    <xf numFmtId="0" fontId="22" fillId="2" borderId="13" xfId="0" applyFont="1" applyFill="1" applyBorder="1" applyProtection="1">
      <protection locked="0"/>
    </xf>
    <xf numFmtId="0" fontId="22" fillId="2" borderId="10" xfId="0" applyFont="1" applyFill="1" applyBorder="1" applyProtection="1">
      <protection locked="0"/>
    </xf>
    <xf numFmtId="0" fontId="22" fillId="2" borderId="14" xfId="0" applyFont="1" applyFill="1" applyBorder="1" applyProtection="1">
      <protection locked="0"/>
    </xf>
    <xf numFmtId="0" fontId="23" fillId="0" borderId="0" xfId="0" applyFont="1" applyProtection="1">
      <protection hidden="1"/>
    </xf>
    <xf numFmtId="0" fontId="15" fillId="0" borderId="0" xfId="0" applyFont="1" applyBorder="1"/>
    <xf numFmtId="0" fontId="15" fillId="0" borderId="0" xfId="0" applyFont="1" applyProtection="1">
      <protection hidden="1"/>
    </xf>
    <xf numFmtId="0" fontId="15" fillId="0" borderId="1" xfId="0" applyFont="1" applyBorder="1"/>
    <xf numFmtId="2" fontId="23" fillId="2" borderId="0" xfId="0" applyNumberFormat="1" applyFont="1" applyFill="1" applyBorder="1" applyAlignment="1" applyProtection="1">
      <protection hidden="1"/>
    </xf>
    <xf numFmtId="2" fontId="23" fillId="2" borderId="1" xfId="0" applyNumberFormat="1" applyFont="1" applyFill="1" applyBorder="1" applyAlignment="1" applyProtection="1">
      <alignment shrinkToFit="1"/>
      <protection hidden="1"/>
    </xf>
    <xf numFmtId="173" fontId="23" fillId="2" borderId="1" xfId="0" applyNumberFormat="1" applyFont="1" applyFill="1" applyBorder="1" applyAlignment="1" applyProtection="1">
      <alignment shrinkToFit="1"/>
      <protection hidden="1"/>
    </xf>
    <xf numFmtId="0" fontId="15" fillId="2" borderId="0" xfId="0" applyFont="1" applyFill="1" applyBorder="1" applyProtection="1">
      <protection hidden="1"/>
    </xf>
    <xf numFmtId="0" fontId="23" fillId="2" borderId="1" xfId="0" applyFont="1" applyFill="1" applyBorder="1" applyProtection="1">
      <protection hidden="1"/>
    </xf>
    <xf numFmtId="0" fontId="23" fillId="2" borderId="1" xfId="0" applyFont="1" applyFill="1" applyBorder="1" applyAlignment="1" applyProtection="1">
      <alignment horizontal="right"/>
      <protection hidden="1"/>
    </xf>
    <xf numFmtId="2" fontId="30" fillId="0" borderId="1" xfId="0" applyNumberFormat="1" applyFont="1" applyFill="1" applyBorder="1" applyAlignment="1" applyProtection="1">
      <alignment shrinkToFit="1"/>
      <protection hidden="1"/>
    </xf>
    <xf numFmtId="173" fontId="31" fillId="2" borderId="1" xfId="0" applyNumberFormat="1" applyFont="1" applyFill="1" applyBorder="1" applyAlignment="1" applyProtection="1">
      <alignment shrinkToFit="1"/>
      <protection hidden="1"/>
    </xf>
    <xf numFmtId="2" fontId="30" fillId="2" borderId="1" xfId="0" applyNumberFormat="1" applyFont="1" applyFill="1" applyBorder="1" applyAlignment="1" applyProtection="1">
      <alignment shrinkToFit="1"/>
      <protection hidden="1"/>
    </xf>
    <xf numFmtId="0" fontId="23" fillId="2" borderId="0" xfId="0" applyFont="1" applyFill="1" applyBorder="1" applyProtection="1">
      <protection hidden="1"/>
    </xf>
    <xf numFmtId="0" fontId="23" fillId="2" borderId="0" xfId="0" applyFont="1" applyFill="1" applyBorder="1" applyAlignment="1" applyProtection="1">
      <alignment horizontal="right"/>
      <protection hidden="1"/>
    </xf>
    <xf numFmtId="2" fontId="28" fillId="0" borderId="1" xfId="0" applyNumberFormat="1" applyFont="1" applyFill="1" applyBorder="1" applyProtection="1"/>
    <xf numFmtId="0" fontId="32" fillId="2" borderId="1" xfId="0" applyNumberFormat="1" applyFont="1" applyFill="1" applyBorder="1" applyProtection="1">
      <protection hidden="1"/>
    </xf>
    <xf numFmtId="173" fontId="28" fillId="6" borderId="1" xfId="0" applyNumberFormat="1" applyFont="1" applyFill="1" applyBorder="1" applyAlignment="1" applyProtection="1">
      <alignment horizontal="center"/>
      <protection hidden="1"/>
    </xf>
    <xf numFmtId="2" fontId="23" fillId="2" borderId="15" xfId="0" applyNumberFormat="1" applyFont="1" applyFill="1" applyBorder="1" applyProtection="1"/>
    <xf numFmtId="2" fontId="23" fillId="2" borderId="1" xfId="0" applyNumberFormat="1" applyFont="1" applyFill="1" applyBorder="1" applyProtection="1">
      <protection hidden="1"/>
    </xf>
    <xf numFmtId="0" fontId="33" fillId="2" borderId="16" xfId="0" applyFont="1" applyFill="1" applyBorder="1" applyProtection="1"/>
    <xf numFmtId="0" fontId="22" fillId="2" borderId="17" xfId="0" applyFont="1" applyFill="1" applyBorder="1" applyAlignment="1" applyProtection="1">
      <alignment horizontal="center"/>
    </xf>
    <xf numFmtId="0" fontId="34" fillId="2" borderId="0" xfId="0" applyFont="1" applyFill="1" applyProtection="1"/>
    <xf numFmtId="0" fontId="15" fillId="2" borderId="8" xfId="0" applyFont="1" applyFill="1" applyBorder="1" applyProtection="1"/>
    <xf numFmtId="0" fontId="22" fillId="3" borderId="17" xfId="0" applyFont="1" applyFill="1" applyBorder="1" applyAlignment="1" applyProtection="1">
      <alignment horizontal="center"/>
    </xf>
    <xf numFmtId="0" fontId="15" fillId="2" borderId="8" xfId="0" applyFont="1" applyFill="1" applyBorder="1"/>
    <xf numFmtId="0" fontId="15" fillId="0" borderId="8" xfId="0" applyFont="1" applyBorder="1"/>
    <xf numFmtId="0" fontId="22" fillId="3" borderId="8" xfId="0" applyFont="1" applyFill="1" applyBorder="1" applyAlignment="1" applyProtection="1">
      <alignment horizontal="center"/>
    </xf>
    <xf numFmtId="0" fontId="15" fillId="2" borderId="17" xfId="0" applyFont="1" applyFill="1" applyBorder="1" applyProtection="1"/>
    <xf numFmtId="172" fontId="23" fillId="0" borderId="0" xfId="0" applyNumberFormat="1" applyFont="1" applyProtection="1">
      <protection hidden="1"/>
    </xf>
    <xf numFmtId="0" fontId="23" fillId="2" borderId="0" xfId="0" applyFont="1" applyFill="1" applyProtection="1">
      <protection hidden="1"/>
    </xf>
    <xf numFmtId="0" fontId="15" fillId="2" borderId="18" xfId="0" applyFont="1" applyFill="1" applyBorder="1"/>
    <xf numFmtId="0" fontId="33" fillId="2" borderId="18" xfId="0" applyFont="1" applyFill="1" applyBorder="1" applyProtection="1"/>
    <xf numFmtId="0" fontId="14" fillId="2" borderId="0" xfId="0" applyNumberFormat="1" applyFont="1" applyFill="1" applyBorder="1" applyProtection="1"/>
    <xf numFmtId="0" fontId="15" fillId="0" borderId="4" xfId="0" applyFont="1" applyBorder="1"/>
    <xf numFmtId="0" fontId="15" fillId="0" borderId="18" xfId="0" applyFont="1" applyBorder="1"/>
    <xf numFmtId="0" fontId="14" fillId="2" borderId="4" xfId="0" applyNumberFormat="1" applyFont="1" applyFill="1" applyBorder="1" applyProtection="1"/>
    <xf numFmtId="173" fontId="33" fillId="2" borderId="18" xfId="0" applyNumberFormat="1" applyFont="1" applyFill="1" applyBorder="1" applyAlignment="1" applyProtection="1">
      <alignment horizontal="center" shrinkToFit="1"/>
      <protection locked="0" hidden="1"/>
    </xf>
    <xf numFmtId="0" fontId="15" fillId="2" borderId="18" xfId="0" applyFont="1" applyFill="1" applyBorder="1" applyProtection="1"/>
    <xf numFmtId="2" fontId="35" fillId="2" borderId="0" xfId="0" applyNumberFormat="1" applyFont="1" applyFill="1" applyBorder="1" applyAlignment="1" applyProtection="1">
      <alignment horizontal="left" shrinkToFit="1"/>
      <protection hidden="1"/>
    </xf>
    <xf numFmtId="2" fontId="33" fillId="4" borderId="19" xfId="0" applyNumberFormat="1" applyFont="1" applyFill="1" applyBorder="1" applyAlignment="1" applyProtection="1">
      <alignment shrinkToFit="1"/>
      <protection locked="0" hidden="1"/>
    </xf>
    <xf numFmtId="0" fontId="14" fillId="2" borderId="10" xfId="0" applyNumberFormat="1" applyFont="1" applyFill="1" applyBorder="1" applyProtection="1">
      <protection hidden="1"/>
    </xf>
    <xf numFmtId="0" fontId="14" fillId="2" borderId="10" xfId="0" applyNumberFormat="1" applyFont="1" applyFill="1" applyBorder="1" applyProtection="1"/>
    <xf numFmtId="0" fontId="14" fillId="2" borderId="20" xfId="0" applyNumberFormat="1" applyFont="1" applyFill="1" applyBorder="1" applyProtection="1"/>
    <xf numFmtId="0" fontId="23" fillId="2" borderId="21" xfId="0" applyFont="1" applyFill="1" applyBorder="1" applyProtection="1"/>
    <xf numFmtId="0" fontId="23" fillId="2" borderId="22" xfId="0" applyFont="1" applyFill="1" applyBorder="1" applyProtection="1"/>
    <xf numFmtId="0" fontId="23" fillId="2" borderId="3" xfId="0" applyFont="1" applyFill="1" applyBorder="1" applyProtection="1">
      <protection hidden="1"/>
    </xf>
    <xf numFmtId="0" fontId="15" fillId="2" borderId="21" xfId="0" applyFont="1" applyFill="1" applyBorder="1" applyProtection="1"/>
    <xf numFmtId="0" fontId="15" fillId="2" borderId="3" xfId="0" applyFont="1" applyFill="1" applyBorder="1" applyProtection="1"/>
    <xf numFmtId="0" fontId="23" fillId="2" borderId="3" xfId="0" applyFont="1" applyFill="1" applyBorder="1" applyProtection="1"/>
    <xf numFmtId="0" fontId="15" fillId="0" borderId="3" xfId="0" applyFont="1" applyBorder="1"/>
    <xf numFmtId="0" fontId="15" fillId="2" borderId="22" xfId="0" applyFont="1" applyFill="1" applyBorder="1"/>
    <xf numFmtId="0" fontId="23" fillId="2" borderId="0" xfId="0" applyFont="1" applyFill="1" applyBorder="1" applyProtection="1"/>
    <xf numFmtId="2" fontId="23" fillId="2" borderId="1" xfId="0" applyNumberFormat="1" applyFont="1" applyFill="1" applyBorder="1" applyAlignment="1" applyProtection="1">
      <alignment horizontal="right" shrinkToFit="1"/>
      <protection hidden="1"/>
    </xf>
    <xf numFmtId="2" fontId="23" fillId="2" borderId="15" xfId="0" applyNumberFormat="1" applyFont="1" applyFill="1" applyBorder="1" applyAlignment="1" applyProtection="1">
      <alignment shrinkToFit="1"/>
    </xf>
    <xf numFmtId="1" fontId="23" fillId="2" borderId="1" xfId="0" applyNumberFormat="1" applyFont="1" applyFill="1" applyBorder="1" applyProtection="1">
      <protection hidden="1"/>
    </xf>
    <xf numFmtId="0" fontId="22" fillId="3" borderId="1" xfId="0" applyFont="1" applyFill="1" applyBorder="1" applyAlignment="1" applyProtection="1">
      <alignment horizontal="center" shrinkToFit="1"/>
    </xf>
    <xf numFmtId="2" fontId="23" fillId="2" borderId="1" xfId="2" applyNumberFormat="1" applyFont="1" applyFill="1" applyBorder="1" applyAlignment="1" applyProtection="1">
      <alignment shrinkToFit="1"/>
      <protection hidden="1"/>
    </xf>
    <xf numFmtId="1" fontId="15" fillId="2" borderId="0" xfId="0" applyNumberFormat="1" applyFont="1" applyFill="1" applyBorder="1" applyProtection="1"/>
    <xf numFmtId="2" fontId="15" fillId="2" borderId="0" xfId="0" applyNumberFormat="1" applyFont="1" applyFill="1" applyBorder="1" applyProtection="1"/>
    <xf numFmtId="0" fontId="22" fillId="3" borderId="1" xfId="0" applyFont="1" applyFill="1" applyBorder="1" applyAlignment="1" applyProtection="1">
      <alignment horizontal="center" vertical="center"/>
    </xf>
    <xf numFmtId="0" fontId="22" fillId="2" borderId="0" xfId="0" applyFont="1" applyFill="1" applyBorder="1" applyAlignment="1" applyProtection="1">
      <alignment vertical="center"/>
    </xf>
    <xf numFmtId="2" fontId="22" fillId="2" borderId="0" xfId="0" applyNumberFormat="1" applyFont="1" applyFill="1" applyAlignment="1">
      <alignment horizontal="center" shrinkToFit="1"/>
    </xf>
    <xf numFmtId="0" fontId="15" fillId="2" borderId="0" xfId="0" applyFont="1" applyFill="1" applyAlignment="1">
      <alignment shrinkToFit="1"/>
    </xf>
    <xf numFmtId="0" fontId="15" fillId="0" borderId="0" xfId="0" applyFont="1" applyFill="1"/>
    <xf numFmtId="0" fontId="23" fillId="2" borderId="0" xfId="0" applyFont="1" applyFill="1" applyAlignment="1" applyProtection="1">
      <alignment wrapText="1"/>
      <protection hidden="1"/>
    </xf>
    <xf numFmtId="0" fontId="16" fillId="2" borderId="0" xfId="0" applyFont="1" applyFill="1" applyAlignment="1" applyProtection="1">
      <protection hidden="1"/>
    </xf>
    <xf numFmtId="0" fontId="36" fillId="2" borderId="0" xfId="0" applyFont="1" applyFill="1" applyBorder="1" applyAlignment="1" applyProtection="1">
      <alignment horizontal="center"/>
      <protection hidden="1"/>
    </xf>
    <xf numFmtId="0" fontId="23" fillId="2" borderId="0" xfId="0" applyFont="1" applyFill="1" applyBorder="1" applyAlignment="1" applyProtection="1">
      <alignment wrapText="1"/>
      <protection hidden="1"/>
    </xf>
    <xf numFmtId="0" fontId="23" fillId="2" borderId="0" xfId="0" applyFont="1" applyFill="1" applyAlignment="1" applyProtection="1">
      <alignment horizontal="justify" wrapText="1"/>
      <protection hidden="1"/>
    </xf>
    <xf numFmtId="0" fontId="15" fillId="2" borderId="0" xfId="0" applyFont="1" applyFill="1" applyAlignment="1">
      <alignment horizontal="justify"/>
    </xf>
    <xf numFmtId="0" fontId="22" fillId="2" borderId="0" xfId="0" applyFont="1" applyFill="1" applyAlignment="1" applyProtection="1">
      <alignment horizontal="justify" wrapText="1"/>
      <protection hidden="1"/>
    </xf>
    <xf numFmtId="0" fontId="23" fillId="2" borderId="13" xfId="0" applyFont="1" applyFill="1" applyBorder="1" applyProtection="1"/>
    <xf numFmtId="0" fontId="12" fillId="2" borderId="0" xfId="1" applyFont="1" applyFill="1" applyBorder="1" applyAlignment="1" applyProtection="1">
      <alignment horizontal="center"/>
    </xf>
    <xf numFmtId="0" fontId="19" fillId="2" borderId="0" xfId="1" applyFont="1" applyFill="1" applyBorder="1" applyAlignment="1" applyProtection="1"/>
    <xf numFmtId="0" fontId="16" fillId="2" borderId="0" xfId="0" applyFont="1" applyFill="1" applyProtection="1"/>
    <xf numFmtId="0" fontId="9" fillId="3" borderId="0" xfId="0" applyFont="1" applyFill="1" applyBorder="1" applyAlignment="1" applyProtection="1">
      <alignment horizontal="center"/>
    </xf>
    <xf numFmtId="0" fontId="28" fillId="2" borderId="0" xfId="0" applyFont="1" applyFill="1" applyProtection="1">
      <protection hidden="1"/>
    </xf>
    <xf numFmtId="0" fontId="23" fillId="0" borderId="23" xfId="0" applyFont="1" applyBorder="1" applyProtection="1">
      <protection hidden="1"/>
    </xf>
    <xf numFmtId="0" fontId="23" fillId="0" borderId="2" xfId="0" applyFont="1" applyBorder="1" applyProtection="1">
      <protection hidden="1"/>
    </xf>
    <xf numFmtId="0" fontId="23" fillId="0" borderId="24" xfId="0" applyFont="1" applyBorder="1" applyProtection="1">
      <protection hidden="1"/>
    </xf>
    <xf numFmtId="0" fontId="9" fillId="2" borderId="0" xfId="0" applyFont="1" applyFill="1" applyProtection="1"/>
    <xf numFmtId="0" fontId="9" fillId="3" borderId="1" xfId="0" applyFont="1" applyFill="1" applyBorder="1" applyAlignment="1" applyProtection="1">
      <alignment vertical="center"/>
    </xf>
    <xf numFmtId="0" fontId="43" fillId="3" borderId="1" xfId="0" applyFont="1" applyFill="1" applyBorder="1" applyAlignment="1" applyProtection="1">
      <alignment vertical="center"/>
    </xf>
    <xf numFmtId="0" fontId="9" fillId="2" borderId="0" xfId="0" applyFont="1" applyFill="1" applyBorder="1" applyAlignment="1" applyProtection="1">
      <alignment vertical="center"/>
    </xf>
    <xf numFmtId="0" fontId="23" fillId="0" borderId="25" xfId="0" applyFont="1" applyBorder="1" applyProtection="1">
      <protection hidden="1"/>
    </xf>
    <xf numFmtId="0" fontId="23" fillId="0" borderId="0" xfId="0" applyFont="1" applyBorder="1" applyProtection="1">
      <protection hidden="1"/>
    </xf>
    <xf numFmtId="0" fontId="23" fillId="0" borderId="26" xfId="0" applyFont="1" applyBorder="1" applyProtection="1">
      <protection hidden="1"/>
    </xf>
    <xf numFmtId="0" fontId="23" fillId="2" borderId="0" xfId="0" applyFont="1" applyFill="1" applyAlignment="1" applyProtection="1">
      <alignment horizontal="center"/>
    </xf>
    <xf numFmtId="173" fontId="23" fillId="4" borderId="14" xfId="0" applyNumberFormat="1" applyFont="1" applyFill="1" applyBorder="1" applyAlignment="1" applyProtection="1">
      <alignment shrinkToFit="1"/>
      <protection locked="0"/>
    </xf>
    <xf numFmtId="0" fontId="23" fillId="2" borderId="0" xfId="0" applyFont="1" applyFill="1" applyAlignment="1" applyProtection="1">
      <alignment horizontal="center" shrinkToFit="1"/>
      <protection locked="0"/>
    </xf>
    <xf numFmtId="2" fontId="23" fillId="4" borderId="1" xfId="0" applyNumberFormat="1" applyFont="1" applyFill="1" applyBorder="1" applyAlignment="1" applyProtection="1">
      <alignment shrinkToFit="1"/>
      <protection locked="0"/>
    </xf>
    <xf numFmtId="2" fontId="9" fillId="4" borderId="1" xfId="3" applyNumberFormat="1" applyFont="1" applyFill="1" applyBorder="1" applyAlignment="1" applyProtection="1">
      <alignment shrinkToFit="1"/>
      <protection locked="0"/>
    </xf>
    <xf numFmtId="173" fontId="23" fillId="2" borderId="0" xfId="3" applyNumberFormat="1" applyFont="1" applyFill="1" applyAlignment="1" applyProtection="1">
      <alignment shrinkToFit="1"/>
      <protection hidden="1"/>
    </xf>
    <xf numFmtId="173" fontId="23" fillId="2" borderId="0" xfId="3" applyNumberFormat="1" applyFont="1" applyFill="1" applyProtection="1">
      <protection hidden="1"/>
    </xf>
    <xf numFmtId="0" fontId="23" fillId="4" borderId="1" xfId="0" applyFont="1" applyFill="1" applyBorder="1" applyProtection="1">
      <protection hidden="1"/>
    </xf>
    <xf numFmtId="180" fontId="23" fillId="0" borderId="0" xfId="0" applyNumberFormat="1" applyFont="1" applyBorder="1" applyProtection="1">
      <protection hidden="1"/>
    </xf>
    <xf numFmtId="173" fontId="23" fillId="7" borderId="1" xfId="0" applyNumberFormat="1" applyFont="1" applyFill="1" applyBorder="1" applyAlignment="1" applyProtection="1">
      <alignment shrinkToFit="1"/>
      <protection locked="0"/>
    </xf>
    <xf numFmtId="2" fontId="23" fillId="7" borderId="1" xfId="0" applyNumberFormat="1" applyFont="1" applyFill="1" applyBorder="1" applyAlignment="1" applyProtection="1">
      <alignment shrinkToFit="1"/>
      <protection locked="0"/>
    </xf>
    <xf numFmtId="2" fontId="9" fillId="7" borderId="1" xfId="3" applyNumberFormat="1" applyFont="1" applyFill="1" applyBorder="1" applyAlignment="1" applyProtection="1">
      <alignment shrinkToFit="1"/>
      <protection locked="0"/>
    </xf>
    <xf numFmtId="178" fontId="23" fillId="0" borderId="0" xfId="0" applyNumberFormat="1" applyFont="1" applyBorder="1" applyProtection="1">
      <protection hidden="1"/>
    </xf>
    <xf numFmtId="173" fontId="23" fillId="4" borderId="1" xfId="0" applyNumberFormat="1" applyFont="1" applyFill="1" applyBorder="1" applyAlignment="1" applyProtection="1">
      <alignment shrinkToFit="1"/>
      <protection locked="0"/>
    </xf>
    <xf numFmtId="2" fontId="9" fillId="4" borderId="27" xfId="3" applyNumberFormat="1" applyFont="1" applyFill="1" applyBorder="1" applyAlignment="1" applyProtection="1">
      <alignment shrinkToFit="1"/>
      <protection locked="0"/>
    </xf>
    <xf numFmtId="0" fontId="15" fillId="2" borderId="0" xfId="0" applyFont="1" applyFill="1" applyBorder="1" applyAlignment="1" applyProtection="1">
      <alignment shrinkToFit="1"/>
    </xf>
    <xf numFmtId="0" fontId="15" fillId="2" borderId="0" xfId="0" applyFont="1" applyFill="1" applyBorder="1" applyAlignment="1" applyProtection="1">
      <alignment horizontal="center" shrinkToFit="1"/>
    </xf>
    <xf numFmtId="0" fontId="15" fillId="2" borderId="0" xfId="0" applyFont="1" applyFill="1" applyAlignment="1" applyProtection="1">
      <alignment shrinkToFit="1"/>
    </xf>
    <xf numFmtId="169" fontId="15" fillId="2" borderId="0" xfId="3" applyFont="1" applyFill="1" applyAlignment="1" applyProtection="1">
      <alignment shrinkToFit="1"/>
    </xf>
    <xf numFmtId="174" fontId="15" fillId="2" borderId="0" xfId="3" applyNumberFormat="1" applyFont="1" applyFill="1" applyAlignment="1" applyProtection="1">
      <alignment shrinkToFit="1"/>
    </xf>
    <xf numFmtId="0" fontId="5" fillId="2" borderId="0" xfId="0" applyFont="1" applyFill="1" applyAlignment="1" applyProtection="1">
      <alignment vertical="center" shrinkToFit="1"/>
    </xf>
    <xf numFmtId="0" fontId="9" fillId="3" borderId="1" xfId="0" applyFont="1" applyFill="1" applyBorder="1" applyAlignment="1" applyProtection="1">
      <alignment vertical="center" shrinkToFit="1"/>
    </xf>
    <xf numFmtId="0" fontId="43" fillId="3" borderId="1" xfId="0" applyFont="1" applyFill="1" applyBorder="1" applyAlignment="1" applyProtection="1">
      <alignment vertical="center" shrinkToFit="1"/>
    </xf>
    <xf numFmtId="0" fontId="28" fillId="2" borderId="0" xfId="0" applyFont="1" applyFill="1" applyAlignment="1" applyProtection="1">
      <alignment vertical="center"/>
      <protection hidden="1"/>
    </xf>
    <xf numFmtId="0" fontId="15" fillId="2" borderId="0" xfId="0" applyFont="1" applyFill="1" applyAlignment="1" applyProtection="1">
      <alignment shrinkToFit="1"/>
      <protection locked="0"/>
    </xf>
    <xf numFmtId="172" fontId="23" fillId="4" borderId="1" xfId="3" applyNumberFormat="1" applyFont="1" applyFill="1" applyBorder="1" applyAlignment="1" applyProtection="1">
      <alignment shrinkToFit="1"/>
      <protection locked="0"/>
    </xf>
    <xf numFmtId="178" fontId="23" fillId="0" borderId="25" xfId="0" applyNumberFormat="1" applyFont="1" applyBorder="1" applyProtection="1">
      <protection hidden="1"/>
    </xf>
    <xf numFmtId="178" fontId="23" fillId="0" borderId="26" xfId="0" applyNumberFormat="1" applyFont="1" applyBorder="1" applyProtection="1">
      <protection hidden="1"/>
    </xf>
    <xf numFmtId="173" fontId="23" fillId="7" borderId="1" xfId="3" applyNumberFormat="1" applyFont="1" applyFill="1" applyBorder="1" applyAlignment="1" applyProtection="1">
      <alignment shrinkToFit="1"/>
      <protection locked="0"/>
    </xf>
    <xf numFmtId="172" fontId="23" fillId="7" borderId="1" xfId="3" applyNumberFormat="1" applyFont="1" applyFill="1" applyBorder="1" applyAlignment="1" applyProtection="1">
      <alignment shrinkToFit="1"/>
      <protection locked="0"/>
    </xf>
    <xf numFmtId="2" fontId="23" fillId="2" borderId="0" xfId="0" applyNumberFormat="1" applyFont="1" applyFill="1" applyAlignment="1" applyProtection="1">
      <alignment shrinkToFit="1"/>
      <protection locked="0"/>
    </xf>
    <xf numFmtId="2" fontId="47" fillId="2" borderId="0" xfId="0" applyNumberFormat="1" applyFont="1" applyFill="1" applyAlignment="1" applyProtection="1">
      <alignment shrinkToFit="1"/>
    </xf>
    <xf numFmtId="173" fontId="29" fillId="2" borderId="0" xfId="3" applyNumberFormat="1" applyFont="1" applyFill="1" applyAlignment="1" applyProtection="1">
      <alignment shrinkToFit="1"/>
    </xf>
    <xf numFmtId="173" fontId="29" fillId="2" borderId="0" xfId="0" applyNumberFormat="1" applyFont="1" applyFill="1" applyAlignment="1" applyProtection="1">
      <alignment shrinkToFit="1"/>
    </xf>
    <xf numFmtId="173" fontId="29" fillId="2" borderId="0" xfId="0" applyNumberFormat="1" applyFont="1" applyFill="1" applyProtection="1"/>
    <xf numFmtId="2" fontId="23" fillId="4" borderId="1" xfId="3" applyNumberFormat="1" applyFont="1" applyFill="1" applyBorder="1" applyAlignment="1" applyProtection="1">
      <alignment shrinkToFit="1"/>
      <protection locked="0"/>
    </xf>
    <xf numFmtId="2" fontId="23" fillId="7" borderId="1" xfId="3" applyNumberFormat="1" applyFont="1" applyFill="1" applyBorder="1" applyAlignment="1" applyProtection="1">
      <alignment shrinkToFit="1"/>
      <protection locked="0"/>
    </xf>
    <xf numFmtId="2" fontId="48" fillId="2" borderId="0" xfId="0" applyNumberFormat="1" applyFont="1" applyFill="1" applyAlignment="1" applyProtection="1">
      <alignment horizontal="left" vertical="center" shrinkToFit="1"/>
    </xf>
    <xf numFmtId="0" fontId="15" fillId="2" borderId="0" xfId="0" applyFont="1" applyFill="1" applyAlignment="1">
      <alignment horizontal="left" vertical="center" shrinkToFit="1"/>
    </xf>
    <xf numFmtId="0" fontId="48" fillId="2" borderId="0" xfId="0" applyFont="1" applyFill="1" applyAlignment="1" applyProtection="1">
      <alignment horizontal="left" vertical="center" shrinkToFit="1"/>
    </xf>
    <xf numFmtId="2" fontId="15" fillId="2" borderId="0" xfId="0" applyNumberFormat="1" applyFont="1" applyFill="1" applyAlignment="1" applyProtection="1">
      <alignment shrinkToFit="1"/>
    </xf>
    <xf numFmtId="0" fontId="23" fillId="2" borderId="0" xfId="0" applyFont="1" applyFill="1" applyAlignment="1" applyProtection="1">
      <alignment horizontal="left" vertical="center" shrinkToFit="1"/>
      <protection locked="0"/>
    </xf>
    <xf numFmtId="2" fontId="15" fillId="2" borderId="0" xfId="0" applyNumberFormat="1" applyFont="1" applyFill="1" applyAlignment="1" applyProtection="1">
      <alignment shrinkToFit="1"/>
      <protection locked="0"/>
    </xf>
    <xf numFmtId="0" fontId="23" fillId="2" borderId="0" xfId="0" applyFont="1" applyFill="1" applyAlignment="1" applyProtection="1">
      <alignment horizontal="left" vertical="center" shrinkToFit="1"/>
    </xf>
    <xf numFmtId="176" fontId="29" fillId="2" borderId="0" xfId="3" applyNumberFormat="1" applyFont="1" applyFill="1" applyBorder="1" applyAlignment="1" applyProtection="1">
      <alignment shrinkToFit="1"/>
    </xf>
    <xf numFmtId="176" fontId="29" fillId="2" borderId="0" xfId="3" applyNumberFormat="1" applyFont="1" applyFill="1" applyBorder="1" applyProtection="1"/>
    <xf numFmtId="2" fontId="23" fillId="2" borderId="0" xfId="3" applyNumberFormat="1" applyFont="1" applyFill="1" applyBorder="1" applyAlignment="1" applyProtection="1">
      <alignment shrinkToFit="1"/>
      <protection locked="0"/>
    </xf>
    <xf numFmtId="169" fontId="29" fillId="2" borderId="0" xfId="3" applyFont="1" applyFill="1" applyAlignment="1" applyProtection="1">
      <alignment shrinkToFit="1"/>
    </xf>
    <xf numFmtId="173" fontId="15" fillId="2" borderId="0" xfId="0" applyNumberFormat="1" applyFont="1" applyFill="1" applyProtection="1"/>
    <xf numFmtId="172" fontId="15" fillId="2" borderId="0" xfId="0" applyNumberFormat="1" applyFont="1" applyFill="1" applyAlignment="1" applyProtection="1">
      <alignment shrinkToFit="1"/>
      <protection locked="0"/>
    </xf>
    <xf numFmtId="0" fontId="50" fillId="2" borderId="0" xfId="0" applyFont="1" applyFill="1" applyBorder="1" applyAlignment="1" applyProtection="1">
      <alignment shrinkToFit="1"/>
      <protection locked="0"/>
    </xf>
    <xf numFmtId="0" fontId="15" fillId="2" borderId="0" xfId="0" applyFont="1" applyFill="1" applyBorder="1" applyAlignment="1" applyProtection="1">
      <alignment shrinkToFit="1"/>
      <protection locked="0"/>
    </xf>
    <xf numFmtId="175" fontId="46" fillId="2" borderId="0" xfId="3" applyNumberFormat="1" applyFont="1" applyFill="1" applyBorder="1" applyAlignment="1" applyProtection="1">
      <alignment shrinkToFit="1"/>
      <protection locked="0"/>
    </xf>
    <xf numFmtId="174" fontId="29" fillId="2" borderId="0" xfId="3" applyNumberFormat="1" applyFont="1" applyFill="1" applyBorder="1" applyAlignment="1" applyProtection="1">
      <alignment shrinkToFit="1"/>
      <protection locked="0"/>
    </xf>
    <xf numFmtId="174" fontId="29" fillId="2" borderId="0" xfId="3" applyNumberFormat="1" applyFont="1" applyFill="1" applyBorder="1" applyAlignment="1" applyProtection="1">
      <alignment horizontal="right" shrinkToFit="1"/>
      <protection locked="0"/>
    </xf>
    <xf numFmtId="176" fontId="29" fillId="2" borderId="0" xfId="3" applyNumberFormat="1" applyFont="1" applyFill="1" applyBorder="1" applyAlignment="1" applyProtection="1">
      <alignment shrinkToFit="1"/>
      <protection locked="0"/>
    </xf>
    <xf numFmtId="0" fontId="29" fillId="2" borderId="0" xfId="0" applyFont="1" applyFill="1" applyBorder="1" applyAlignment="1" applyProtection="1">
      <alignment vertical="center"/>
    </xf>
    <xf numFmtId="2" fontId="15" fillId="2" borderId="0" xfId="0" applyNumberFormat="1" applyFont="1" applyFill="1" applyProtection="1"/>
    <xf numFmtId="2" fontId="15" fillId="2" borderId="0" xfId="0" applyNumberFormat="1" applyFont="1" applyFill="1"/>
    <xf numFmtId="0" fontId="37" fillId="2" borderId="0" xfId="0" applyFont="1" applyFill="1"/>
    <xf numFmtId="0" fontId="12" fillId="3" borderId="0" xfId="0" applyFont="1" applyFill="1" applyBorder="1" applyAlignment="1">
      <alignment horizontal="center"/>
    </xf>
    <xf numFmtId="0" fontId="37" fillId="0" borderId="0" xfId="0" applyFont="1"/>
    <xf numFmtId="0" fontId="29" fillId="3" borderId="1" xfId="0" applyFont="1" applyFill="1" applyBorder="1"/>
    <xf numFmtId="0" fontId="52" fillId="3" borderId="1" xfId="0" applyFont="1" applyFill="1" applyBorder="1" applyProtection="1">
      <protection hidden="1"/>
    </xf>
    <xf numFmtId="0" fontId="46" fillId="3" borderId="1" xfId="0" applyFont="1" applyFill="1" applyBorder="1"/>
    <xf numFmtId="0" fontId="15" fillId="2" borderId="0" xfId="0" applyFont="1" applyFill="1" applyProtection="1">
      <protection hidden="1"/>
    </xf>
    <xf numFmtId="0" fontId="23" fillId="2" borderId="0" xfId="0" applyFont="1" applyFill="1" applyAlignment="1" applyProtection="1">
      <alignment horizontal="center"/>
      <protection hidden="1"/>
    </xf>
    <xf numFmtId="0" fontId="33" fillId="3" borderId="11" xfId="0" applyFont="1" applyFill="1" applyBorder="1" applyAlignment="1">
      <alignment horizontal="left"/>
    </xf>
    <xf numFmtId="0" fontId="29" fillId="3" borderId="11" xfId="0" applyFont="1" applyFill="1" applyBorder="1" applyAlignment="1">
      <alignment horizontal="right"/>
    </xf>
    <xf numFmtId="0" fontId="15" fillId="4" borderId="1" xfId="0" applyFont="1" applyFill="1" applyBorder="1" applyAlignment="1" applyProtection="1">
      <alignment shrinkToFit="1"/>
      <protection locked="0"/>
    </xf>
    <xf numFmtId="2" fontId="15" fillId="2" borderId="1" xfId="0" applyNumberFormat="1" applyFont="1" applyFill="1" applyBorder="1" applyAlignment="1" applyProtection="1">
      <alignment shrinkToFit="1"/>
      <protection hidden="1"/>
    </xf>
    <xf numFmtId="2" fontId="15" fillId="4" borderId="1" xfId="0" applyNumberFormat="1" applyFont="1" applyFill="1" applyBorder="1" applyAlignment="1" applyProtection="1">
      <alignment shrinkToFit="1"/>
      <protection locked="0"/>
    </xf>
    <xf numFmtId="2" fontId="15" fillId="4" borderId="1" xfId="0" quotePrefix="1" applyNumberFormat="1" applyFont="1" applyFill="1" applyBorder="1" applyAlignment="1" applyProtection="1">
      <alignment shrinkToFit="1"/>
      <protection locked="0"/>
    </xf>
    <xf numFmtId="2" fontId="9" fillId="2" borderId="0" xfId="0" applyNumberFormat="1" applyFont="1" applyFill="1" applyBorder="1" applyProtection="1">
      <protection hidden="1"/>
    </xf>
    <xf numFmtId="2" fontId="23" fillId="2" borderId="26" xfId="0" applyNumberFormat="1" applyFont="1" applyFill="1" applyBorder="1" applyProtection="1">
      <protection hidden="1"/>
    </xf>
    <xf numFmtId="2" fontId="15" fillId="2" borderId="0" xfId="0" applyNumberFormat="1" applyFont="1" applyFill="1" applyProtection="1">
      <protection hidden="1"/>
    </xf>
    <xf numFmtId="2" fontId="15" fillId="2" borderId="0" xfId="0" applyNumberFormat="1" applyFont="1" applyFill="1" applyAlignment="1" applyProtection="1">
      <alignment horizontal="center"/>
      <protection hidden="1"/>
    </xf>
    <xf numFmtId="0" fontId="37" fillId="2" borderId="0" xfId="0" applyNumberFormat="1" applyFont="1" applyFill="1"/>
    <xf numFmtId="1" fontId="15" fillId="2" borderId="0" xfId="0" applyNumberFormat="1" applyFont="1" applyFill="1"/>
    <xf numFmtId="2" fontId="23" fillId="2" borderId="12" xfId="0" applyNumberFormat="1" applyFont="1" applyFill="1" applyBorder="1" applyProtection="1">
      <protection hidden="1"/>
    </xf>
    <xf numFmtId="2" fontId="23" fillId="2" borderId="28" xfId="0" applyNumberFormat="1" applyFont="1" applyFill="1" applyBorder="1" applyProtection="1">
      <protection hidden="1"/>
    </xf>
    <xf numFmtId="0" fontId="15" fillId="2" borderId="0" xfId="0" applyFont="1" applyFill="1" applyAlignment="1">
      <alignment horizontal="center"/>
    </xf>
    <xf numFmtId="0" fontId="9" fillId="3" borderId="1" xfId="0" applyFont="1" applyFill="1" applyBorder="1" applyAlignment="1" applyProtection="1">
      <alignment horizontal="center" vertical="center"/>
    </xf>
    <xf numFmtId="0" fontId="50" fillId="2" borderId="0" xfId="0" applyFont="1" applyFill="1"/>
    <xf numFmtId="0" fontId="50" fillId="0" borderId="0" xfId="0" applyFont="1"/>
    <xf numFmtId="0" fontId="43" fillId="2" borderId="0" xfId="0" applyFont="1" applyFill="1" applyAlignment="1" applyProtection="1">
      <alignment horizontal="center" wrapText="1"/>
    </xf>
    <xf numFmtId="0" fontId="23" fillId="2" borderId="0" xfId="0" applyFont="1" applyFill="1"/>
    <xf numFmtId="0" fontId="38" fillId="2" borderId="0" xfId="0" applyFont="1" applyFill="1" applyProtection="1">
      <protection hidden="1"/>
    </xf>
    <xf numFmtId="0" fontId="17" fillId="2" borderId="0" xfId="0" applyFont="1" applyFill="1" applyAlignment="1" applyProtection="1">
      <alignment horizontal="center" vertical="center"/>
      <protection hidden="1"/>
    </xf>
    <xf numFmtId="0" fontId="23" fillId="0" borderId="0" xfId="0" applyFont="1"/>
    <xf numFmtId="178" fontId="23" fillId="2" borderId="0" xfId="0" applyNumberFormat="1" applyFont="1" applyFill="1" applyProtection="1">
      <protection hidden="1"/>
    </xf>
    <xf numFmtId="177" fontId="23" fillId="2" borderId="0" xfId="0" applyNumberFormat="1" applyFont="1" applyFill="1" applyProtection="1">
      <protection hidden="1"/>
    </xf>
    <xf numFmtId="0" fontId="43" fillId="2" borderId="0" xfId="0" applyFont="1" applyFill="1" applyAlignment="1" applyProtection="1">
      <alignment horizontal="right"/>
      <protection hidden="1"/>
    </xf>
    <xf numFmtId="0" fontId="9" fillId="2" borderId="0" xfId="0" applyFont="1" applyFill="1" applyAlignment="1" applyProtection="1">
      <alignment horizontal="right"/>
      <protection hidden="1"/>
    </xf>
    <xf numFmtId="2" fontId="9" fillId="2" borderId="0" xfId="0" applyNumberFormat="1" applyFont="1" applyFill="1" applyAlignment="1" applyProtection="1">
      <alignment shrinkToFit="1"/>
      <protection hidden="1"/>
    </xf>
    <xf numFmtId="2" fontId="9" fillId="2" borderId="0" xfId="0" applyNumberFormat="1" applyFont="1" applyFill="1" applyProtection="1">
      <protection hidden="1"/>
    </xf>
    <xf numFmtId="169" fontId="23" fillId="2" borderId="0" xfId="3" applyFont="1" applyFill="1" applyProtection="1">
      <protection hidden="1"/>
    </xf>
    <xf numFmtId="175" fontId="23" fillId="2" borderId="0" xfId="3" applyNumberFormat="1" applyFont="1" applyFill="1" applyProtection="1">
      <protection hidden="1"/>
    </xf>
    <xf numFmtId="0" fontId="12" fillId="2" borderId="0" xfId="0" applyFont="1" applyFill="1" applyProtection="1">
      <protection hidden="1"/>
    </xf>
    <xf numFmtId="0" fontId="9" fillId="0" borderId="0" xfId="0" applyFont="1" applyProtection="1">
      <protection hidden="1"/>
    </xf>
    <xf numFmtId="169" fontId="9" fillId="2" borderId="0" xfId="0" applyNumberFormat="1" applyFont="1" applyFill="1" applyProtection="1">
      <protection hidden="1"/>
    </xf>
    <xf numFmtId="175" fontId="9" fillId="2" borderId="0" xfId="0" applyNumberFormat="1" applyFont="1" applyFill="1" applyProtection="1">
      <protection hidden="1"/>
    </xf>
    <xf numFmtId="0" fontId="9" fillId="0" borderId="0" xfId="0" applyFont="1"/>
    <xf numFmtId="2" fontId="23" fillId="2" borderId="0" xfId="0" applyNumberFormat="1" applyFont="1" applyFill="1"/>
    <xf numFmtId="2" fontId="12" fillId="2" borderId="0" xfId="0" applyNumberFormat="1" applyFont="1" applyFill="1" applyProtection="1">
      <protection hidden="1"/>
    </xf>
    <xf numFmtId="2" fontId="9" fillId="2" borderId="0" xfId="0" applyNumberFormat="1" applyFont="1" applyFill="1" applyBorder="1" applyAlignment="1" applyProtection="1">
      <alignment shrinkToFit="1"/>
      <protection hidden="1"/>
    </xf>
    <xf numFmtId="173" fontId="9" fillId="2" borderId="0" xfId="0" applyNumberFormat="1" applyFont="1" applyFill="1" applyBorder="1" applyAlignment="1" applyProtection="1">
      <alignment shrinkToFit="1"/>
      <protection hidden="1"/>
    </xf>
    <xf numFmtId="2" fontId="9" fillId="0" borderId="0" xfId="0" applyNumberFormat="1" applyFont="1" applyProtection="1">
      <protection hidden="1"/>
    </xf>
    <xf numFmtId="2" fontId="23" fillId="0" borderId="0" xfId="0" applyNumberFormat="1" applyFont="1"/>
    <xf numFmtId="2" fontId="9" fillId="0" borderId="0" xfId="0" applyNumberFormat="1" applyFont="1"/>
    <xf numFmtId="0" fontId="21" fillId="2" borderId="0" xfId="0" applyFont="1" applyFill="1" applyProtection="1">
      <protection hidden="1"/>
    </xf>
    <xf numFmtId="0" fontId="33" fillId="2" borderId="13" xfId="0" applyFont="1" applyFill="1" applyBorder="1" applyProtection="1">
      <protection hidden="1"/>
    </xf>
    <xf numFmtId="0" fontId="33" fillId="2" borderId="10" xfId="0" applyFont="1" applyFill="1" applyBorder="1" applyProtection="1">
      <protection hidden="1"/>
    </xf>
    <xf numFmtId="0" fontId="33" fillId="2" borderId="14" xfId="0" applyFont="1" applyFill="1" applyBorder="1" applyProtection="1">
      <protection hidden="1"/>
    </xf>
    <xf numFmtId="169" fontId="23" fillId="2" borderId="0" xfId="3" applyFont="1" applyFill="1" applyAlignment="1" applyProtection="1">
      <alignment shrinkToFit="1"/>
      <protection hidden="1"/>
    </xf>
    <xf numFmtId="0" fontId="23" fillId="2" borderId="0" xfId="0" applyFont="1" applyFill="1" applyAlignment="1" applyProtection="1">
      <alignment shrinkToFit="1"/>
      <protection hidden="1"/>
    </xf>
    <xf numFmtId="0" fontId="9" fillId="4" borderId="1" xfId="0" applyFont="1" applyFill="1" applyBorder="1" applyProtection="1">
      <protection locked="0"/>
    </xf>
    <xf numFmtId="172" fontId="9" fillId="8" borderId="0" xfId="0" applyNumberFormat="1" applyFont="1" applyFill="1" applyAlignment="1" applyProtection="1">
      <alignment shrinkToFit="1"/>
      <protection hidden="1"/>
    </xf>
    <xf numFmtId="172" fontId="12" fillId="8" borderId="0" xfId="0" applyNumberFormat="1" applyFont="1" applyFill="1" applyAlignment="1" applyProtection="1">
      <alignment shrinkToFit="1"/>
      <protection hidden="1"/>
    </xf>
    <xf numFmtId="172" fontId="9" fillId="4" borderId="0" xfId="0" applyNumberFormat="1" applyFont="1" applyFill="1" applyAlignment="1" applyProtection="1">
      <alignment shrinkToFit="1"/>
      <protection locked="0"/>
    </xf>
    <xf numFmtId="176" fontId="9" fillId="2" borderId="0" xfId="3" applyNumberFormat="1" applyFont="1" applyFill="1" applyAlignment="1" applyProtection="1">
      <alignment shrinkToFit="1"/>
      <protection hidden="1"/>
    </xf>
    <xf numFmtId="175" fontId="9" fillId="2" borderId="0" xfId="3" applyNumberFormat="1" applyFont="1" applyFill="1" applyAlignment="1" applyProtection="1">
      <alignment shrinkToFit="1"/>
      <protection hidden="1"/>
    </xf>
    <xf numFmtId="0" fontId="9" fillId="2" borderId="0" xfId="0" applyFont="1" applyFill="1" applyBorder="1" applyProtection="1">
      <protection locked="0"/>
    </xf>
    <xf numFmtId="0" fontId="9" fillId="2" borderId="0" xfId="0" applyFont="1" applyFill="1" applyAlignment="1" applyProtection="1">
      <alignment shrinkToFit="1"/>
      <protection hidden="1"/>
    </xf>
    <xf numFmtId="2" fontId="12" fillId="2" borderId="0" xfId="0" applyNumberFormat="1" applyFont="1" applyFill="1" applyAlignment="1" applyProtection="1">
      <alignment shrinkToFit="1"/>
      <protection hidden="1"/>
    </xf>
    <xf numFmtId="169" fontId="9" fillId="2" borderId="0" xfId="3" applyFont="1" applyFill="1" applyAlignment="1" applyProtection="1">
      <alignment shrinkToFit="1"/>
      <protection hidden="1"/>
    </xf>
    <xf numFmtId="0" fontId="38" fillId="2" borderId="0" xfId="0" applyFont="1" applyFill="1" applyAlignment="1" applyProtection="1">
      <alignment shrinkToFit="1"/>
      <protection hidden="1"/>
    </xf>
    <xf numFmtId="2" fontId="23" fillId="2" borderId="0" xfId="0" applyNumberFormat="1" applyFont="1" applyFill="1" applyAlignment="1" applyProtection="1">
      <alignment shrinkToFit="1"/>
      <protection hidden="1"/>
    </xf>
    <xf numFmtId="2" fontId="38" fillId="2" borderId="0" xfId="0" applyNumberFormat="1" applyFont="1" applyFill="1" applyAlignment="1" applyProtection="1">
      <alignment shrinkToFit="1"/>
      <protection hidden="1"/>
    </xf>
    <xf numFmtId="2" fontId="9" fillId="8" borderId="0" xfId="0" applyNumberFormat="1" applyFont="1" applyFill="1" applyAlignment="1" applyProtection="1">
      <alignment shrinkToFit="1"/>
      <protection hidden="1"/>
    </xf>
    <xf numFmtId="2" fontId="12" fillId="8" borderId="0" xfId="0" applyNumberFormat="1" applyFont="1" applyFill="1" applyAlignment="1" applyProtection="1">
      <alignment shrinkToFit="1"/>
      <protection hidden="1"/>
    </xf>
    <xf numFmtId="2" fontId="9" fillId="4" borderId="0" xfId="0" applyNumberFormat="1" applyFont="1" applyFill="1" applyAlignment="1" applyProtection="1">
      <alignment shrinkToFit="1"/>
      <protection locked="0"/>
    </xf>
    <xf numFmtId="171" fontId="9" fillId="2" borderId="0" xfId="3" applyNumberFormat="1" applyFont="1" applyFill="1" applyAlignment="1" applyProtection="1">
      <alignment shrinkToFit="1"/>
      <protection hidden="1"/>
    </xf>
    <xf numFmtId="2" fontId="9" fillId="2" borderId="13" xfId="0" applyNumberFormat="1" applyFont="1" applyFill="1" applyBorder="1" applyProtection="1">
      <protection hidden="1"/>
    </xf>
    <xf numFmtId="2" fontId="9" fillId="2" borderId="10" xfId="0" applyNumberFormat="1" applyFont="1" applyFill="1" applyBorder="1" applyProtection="1">
      <protection hidden="1"/>
    </xf>
    <xf numFmtId="2" fontId="9" fillId="2" borderId="14" xfId="0" applyNumberFormat="1" applyFont="1" applyFill="1" applyBorder="1" applyProtection="1">
      <protection hidden="1"/>
    </xf>
    <xf numFmtId="169" fontId="9" fillId="2" borderId="0" xfId="3" applyFont="1" applyFill="1" applyProtection="1">
      <protection hidden="1"/>
    </xf>
    <xf numFmtId="2" fontId="9" fillId="2" borderId="10" xfId="0" applyNumberFormat="1" applyFont="1" applyFill="1" applyBorder="1" applyAlignment="1" applyProtection="1">
      <alignment shrinkToFit="1"/>
      <protection hidden="1"/>
    </xf>
    <xf numFmtId="2" fontId="9" fillId="2" borderId="14" xfId="0" applyNumberFormat="1" applyFont="1" applyFill="1" applyBorder="1" applyAlignment="1" applyProtection="1">
      <alignment shrinkToFit="1"/>
      <protection hidden="1"/>
    </xf>
    <xf numFmtId="0" fontId="9" fillId="2" borderId="0" xfId="0" applyFont="1" applyFill="1" applyBorder="1"/>
    <xf numFmtId="179" fontId="9" fillId="2" borderId="0" xfId="3" applyNumberFormat="1" applyFont="1" applyFill="1" applyAlignment="1" applyProtection="1">
      <alignment shrinkToFit="1"/>
      <protection hidden="1"/>
    </xf>
    <xf numFmtId="179" fontId="23" fillId="2" borderId="0" xfId="3" applyNumberFormat="1" applyFont="1" applyFill="1" applyAlignment="1" applyProtection="1">
      <alignment shrinkToFit="1"/>
      <protection hidden="1"/>
    </xf>
    <xf numFmtId="171" fontId="9" fillId="2" borderId="0" xfId="3" applyNumberFormat="1" applyFont="1" applyFill="1" applyProtection="1">
      <protection hidden="1"/>
    </xf>
    <xf numFmtId="2" fontId="12" fillId="2" borderId="0" xfId="0" applyNumberFormat="1" applyFont="1" applyFill="1" applyBorder="1" applyAlignment="1" applyProtection="1">
      <alignment shrinkToFit="1"/>
      <protection hidden="1"/>
    </xf>
    <xf numFmtId="1" fontId="9" fillId="2" borderId="0" xfId="0" applyNumberFormat="1" applyFont="1" applyFill="1" applyBorder="1" applyAlignment="1" applyProtection="1">
      <alignment shrinkToFit="1"/>
      <protection hidden="1"/>
    </xf>
    <xf numFmtId="1" fontId="12" fillId="2" borderId="0" xfId="0" applyNumberFormat="1" applyFont="1" applyFill="1" applyBorder="1" applyAlignment="1" applyProtection="1">
      <alignment shrinkToFit="1"/>
      <protection hidden="1"/>
    </xf>
    <xf numFmtId="174" fontId="9" fillId="2" borderId="0" xfId="3" applyNumberFormat="1" applyFont="1" applyFill="1" applyAlignment="1" applyProtection="1">
      <alignment shrinkToFit="1"/>
      <protection hidden="1"/>
    </xf>
    <xf numFmtId="0" fontId="70" fillId="2" borderId="0" xfId="0" applyFont="1" applyFill="1" applyProtection="1">
      <protection hidden="1"/>
    </xf>
    <xf numFmtId="0" fontId="38" fillId="0" borderId="0" xfId="0" applyFont="1" applyProtection="1">
      <protection hidden="1"/>
    </xf>
    <xf numFmtId="2" fontId="33" fillId="2" borderId="0" xfId="0" applyNumberFormat="1" applyFont="1" applyFill="1" applyProtection="1">
      <protection hidden="1"/>
    </xf>
    <xf numFmtId="0" fontId="33" fillId="2" borderId="0" xfId="0" applyFont="1" applyFill="1" applyProtection="1">
      <protection hidden="1"/>
    </xf>
    <xf numFmtId="0" fontId="37" fillId="2" borderId="0" xfId="0" applyFont="1" applyFill="1" applyProtection="1">
      <protection hidden="1"/>
    </xf>
    <xf numFmtId="0" fontId="9" fillId="2" borderId="0" xfId="0" applyFont="1" applyFill="1" applyAlignment="1" applyProtection="1">
      <alignment horizontal="center"/>
      <protection hidden="1"/>
    </xf>
    <xf numFmtId="0" fontId="12" fillId="2" borderId="0" xfId="0" applyFont="1" applyFill="1" applyAlignment="1" applyProtection="1">
      <alignment horizontal="center"/>
      <protection hidden="1"/>
    </xf>
    <xf numFmtId="0" fontId="33" fillId="9" borderId="0" xfId="0" applyFont="1" applyFill="1" applyAlignment="1" applyProtection="1">
      <alignment horizontal="center"/>
      <protection hidden="1"/>
    </xf>
    <xf numFmtId="0" fontId="18" fillId="2" borderId="0" xfId="0" applyFont="1" applyFill="1" applyBorder="1" applyAlignment="1" applyProtection="1">
      <alignment horizontal="left"/>
      <protection hidden="1"/>
    </xf>
    <xf numFmtId="0" fontId="16" fillId="2" borderId="0" xfId="0" applyFont="1" applyFill="1"/>
    <xf numFmtId="0" fontId="17" fillId="2" borderId="0" xfId="0" applyFont="1" applyFill="1" applyAlignment="1" applyProtection="1">
      <alignment horizontal="right" vertical="center"/>
      <protection hidden="1"/>
    </xf>
    <xf numFmtId="0" fontId="16" fillId="2" borderId="0" xfId="0" applyFont="1" applyFill="1" applyAlignment="1" applyProtection="1">
      <alignment vertical="top"/>
      <protection hidden="1"/>
    </xf>
    <xf numFmtId="0" fontId="17" fillId="2" borderId="0" xfId="0" applyFont="1" applyFill="1" applyAlignment="1" applyProtection="1">
      <alignment vertical="top"/>
      <protection hidden="1"/>
    </xf>
    <xf numFmtId="0" fontId="73" fillId="2" borderId="16" xfId="0" applyFont="1" applyFill="1" applyBorder="1" applyProtection="1">
      <protection hidden="1"/>
    </xf>
    <xf numFmtId="0" fontId="37" fillId="2" borderId="8" xfId="0" applyFont="1" applyFill="1" applyBorder="1" applyProtection="1">
      <protection hidden="1"/>
    </xf>
    <xf numFmtId="0" fontId="35" fillId="3" borderId="17" xfId="0" applyFont="1" applyFill="1" applyBorder="1" applyAlignment="1" applyProtection="1">
      <alignment horizontal="center"/>
      <protection hidden="1"/>
    </xf>
    <xf numFmtId="0" fontId="51" fillId="2" borderId="0" xfId="1" applyFont="1" applyFill="1" applyBorder="1" applyAlignment="1" applyProtection="1"/>
    <xf numFmtId="0" fontId="37" fillId="2" borderId="18" xfId="0" applyFont="1" applyFill="1" applyBorder="1" applyProtection="1">
      <protection hidden="1"/>
    </xf>
    <xf numFmtId="0" fontId="37" fillId="2" borderId="0" xfId="0" applyFont="1" applyFill="1" applyBorder="1" applyProtection="1">
      <protection hidden="1"/>
    </xf>
    <xf numFmtId="0" fontId="37" fillId="2" borderId="4" xfId="0" applyFont="1" applyFill="1" applyBorder="1" applyProtection="1">
      <protection hidden="1"/>
    </xf>
    <xf numFmtId="0" fontId="33" fillId="2" borderId="18" xfId="0" applyFont="1" applyFill="1" applyBorder="1" applyProtection="1">
      <protection hidden="1"/>
    </xf>
    <xf numFmtId="0" fontId="37" fillId="2" borderId="0" xfId="0" applyFont="1" applyFill="1" applyBorder="1"/>
    <xf numFmtId="0" fontId="37" fillId="2" borderId="0" xfId="0" applyFont="1" applyFill="1" applyBorder="1" applyAlignment="1" applyProtection="1">
      <alignment shrinkToFit="1"/>
      <protection hidden="1"/>
    </xf>
    <xf numFmtId="181" fontId="74" fillId="2" borderId="0" xfId="0" applyNumberFormat="1" applyFont="1" applyFill="1" applyBorder="1" applyAlignment="1" applyProtection="1">
      <alignment shrinkToFit="1"/>
      <protection hidden="1"/>
    </xf>
    <xf numFmtId="0" fontId="33" fillId="2" borderId="4" xfId="0" applyFont="1" applyFill="1" applyBorder="1" applyProtection="1">
      <protection hidden="1"/>
    </xf>
    <xf numFmtId="0" fontId="37" fillId="0" borderId="0" xfId="0" applyFont="1" applyBorder="1"/>
    <xf numFmtId="0" fontId="33" fillId="10" borderId="18" xfId="0" applyFont="1" applyFill="1" applyBorder="1" applyProtection="1">
      <protection hidden="1"/>
    </xf>
    <xf numFmtId="0" fontId="33" fillId="10" borderId="0" xfId="0" applyFont="1" applyFill="1" applyBorder="1" applyProtection="1">
      <protection hidden="1"/>
    </xf>
    <xf numFmtId="0" fontId="33" fillId="10" borderId="4" xfId="0" applyFont="1" applyFill="1" applyBorder="1" applyProtection="1">
      <protection hidden="1"/>
    </xf>
    <xf numFmtId="0" fontId="33" fillId="2" borderId="0" xfId="0" applyFont="1" applyFill="1" applyBorder="1" applyAlignment="1" applyProtection="1">
      <alignment horizontal="center"/>
      <protection hidden="1"/>
    </xf>
    <xf numFmtId="20" fontId="37" fillId="2" borderId="18" xfId="0" quotePrefix="1" applyNumberFormat="1" applyFont="1" applyFill="1" applyBorder="1" applyAlignment="1" applyProtection="1">
      <alignment horizontal="right"/>
      <protection hidden="1"/>
    </xf>
    <xf numFmtId="0" fontId="37" fillId="4" borderId="1" xfId="0" applyFont="1" applyFill="1" applyBorder="1" applyProtection="1">
      <protection locked="0"/>
    </xf>
    <xf numFmtId="0" fontId="33" fillId="2" borderId="21" xfId="0" applyFont="1" applyFill="1" applyBorder="1" applyProtection="1">
      <protection hidden="1"/>
    </xf>
    <xf numFmtId="0" fontId="37" fillId="2" borderId="3" xfId="0" applyFont="1" applyFill="1" applyBorder="1" applyProtection="1">
      <protection hidden="1"/>
    </xf>
    <xf numFmtId="0" fontId="37" fillId="2" borderId="22" xfId="0" applyFont="1" applyFill="1" applyBorder="1" applyProtection="1">
      <protection hidden="1"/>
    </xf>
    <xf numFmtId="0" fontId="33" fillId="2" borderId="0" xfId="0" applyFont="1" applyFill="1" applyBorder="1" applyProtection="1">
      <protection hidden="1"/>
    </xf>
    <xf numFmtId="0" fontId="37" fillId="0" borderId="0" xfId="0" applyFont="1" applyAlignment="1" applyProtection="1">
      <alignment shrinkToFit="1"/>
      <protection hidden="1"/>
    </xf>
    <xf numFmtId="0" fontId="37" fillId="2" borderId="0" xfId="0" applyFont="1" applyFill="1" applyAlignment="1" applyProtection="1">
      <alignment shrinkToFit="1"/>
      <protection hidden="1"/>
    </xf>
    <xf numFmtId="169" fontId="74" fillId="2" borderId="0" xfId="3" applyFont="1" applyFill="1" applyAlignment="1" applyProtection="1">
      <alignment shrinkToFit="1"/>
      <protection hidden="1"/>
    </xf>
    <xf numFmtId="0" fontId="37" fillId="2" borderId="0" xfId="0" applyFont="1" applyFill="1" applyAlignment="1" applyProtection="1">
      <alignment horizontal="left" shrinkToFit="1"/>
      <protection hidden="1"/>
    </xf>
    <xf numFmtId="0" fontId="33" fillId="2" borderId="0" xfId="0" applyFont="1" applyFill="1" applyAlignment="1" applyProtection="1">
      <alignment horizontal="center" shrinkToFit="1"/>
      <protection hidden="1"/>
    </xf>
    <xf numFmtId="20" fontId="37" fillId="2" borderId="0" xfId="0" quotePrefix="1" applyNumberFormat="1" applyFont="1" applyFill="1" applyAlignment="1" applyProtection="1">
      <alignment horizontal="right" shrinkToFit="1"/>
      <protection hidden="1"/>
    </xf>
    <xf numFmtId="2" fontId="37" fillId="2" borderId="0" xfId="0" applyNumberFormat="1" applyFont="1" applyFill="1" applyAlignment="1" applyProtection="1">
      <alignment shrinkToFit="1"/>
      <protection hidden="1"/>
    </xf>
    <xf numFmtId="0" fontId="37" fillId="2" borderId="0" xfId="0" applyFont="1" applyFill="1" applyAlignment="1">
      <alignment shrinkToFit="1"/>
    </xf>
    <xf numFmtId="0" fontId="33" fillId="2" borderId="0" xfId="0" applyFont="1" applyFill="1" applyAlignment="1" applyProtection="1">
      <alignment shrinkToFit="1"/>
      <protection hidden="1"/>
    </xf>
    <xf numFmtId="2" fontId="37" fillId="2" borderId="0" xfId="0" applyNumberFormat="1" applyFont="1" applyFill="1" applyAlignment="1" applyProtection="1">
      <alignment horizontal="left" shrinkToFit="1"/>
      <protection hidden="1"/>
    </xf>
    <xf numFmtId="2" fontId="37" fillId="2" borderId="0" xfId="0" applyNumberFormat="1" applyFont="1" applyFill="1" applyAlignment="1">
      <alignment horizontal="right" shrinkToFit="1"/>
    </xf>
    <xf numFmtId="2" fontId="37" fillId="2" borderId="0" xfId="0" applyNumberFormat="1" applyFont="1" applyFill="1" applyAlignment="1">
      <alignment horizontal="center" shrinkToFit="1"/>
    </xf>
    <xf numFmtId="2" fontId="37" fillId="2" borderId="0" xfId="0" applyNumberFormat="1" applyFont="1" applyFill="1" applyAlignment="1">
      <alignment horizontal="left" shrinkToFit="1"/>
    </xf>
    <xf numFmtId="2" fontId="33" fillId="2" borderId="0" xfId="0" applyNumberFormat="1" applyFont="1" applyFill="1" applyAlignment="1" applyProtection="1">
      <alignment horizontal="left" shrinkToFit="1"/>
      <protection hidden="1"/>
    </xf>
    <xf numFmtId="0" fontId="33" fillId="2" borderId="0" xfId="0" applyFont="1" applyFill="1" applyBorder="1" applyAlignment="1" applyProtection="1">
      <alignment shrinkToFit="1"/>
      <protection hidden="1"/>
    </xf>
    <xf numFmtId="2" fontId="33" fillId="2" borderId="0" xfId="0" applyNumberFormat="1" applyFont="1" applyFill="1" applyBorder="1" applyAlignment="1" applyProtection="1">
      <alignment shrinkToFit="1"/>
      <protection hidden="1"/>
    </xf>
    <xf numFmtId="0" fontId="33" fillId="2" borderId="16" xfId="0" applyFont="1" applyFill="1" applyBorder="1" applyAlignment="1" applyProtection="1">
      <alignment shrinkToFit="1"/>
      <protection hidden="1"/>
    </xf>
    <xf numFmtId="0" fontId="33" fillId="9" borderId="8" xfId="0" applyFont="1" applyFill="1" applyBorder="1" applyAlignment="1" applyProtection="1">
      <alignment horizontal="center" shrinkToFit="1"/>
    </xf>
    <xf numFmtId="0" fontId="33" fillId="2" borderId="8" xfId="0" applyFont="1" applyFill="1" applyBorder="1" applyAlignment="1" applyProtection="1">
      <alignment horizontal="center" shrinkToFit="1"/>
      <protection hidden="1"/>
    </xf>
    <xf numFmtId="0" fontId="33" fillId="2" borderId="8" xfId="0" applyFont="1" applyFill="1" applyBorder="1" applyAlignment="1" applyProtection="1">
      <alignment shrinkToFit="1"/>
      <protection hidden="1"/>
    </xf>
    <xf numFmtId="0" fontId="33" fillId="2" borderId="17" xfId="0" applyFont="1" applyFill="1" applyBorder="1" applyAlignment="1" applyProtection="1">
      <alignment shrinkToFit="1"/>
      <protection hidden="1"/>
    </xf>
    <xf numFmtId="0" fontId="33" fillId="2" borderId="18" xfId="0" applyFont="1" applyFill="1" applyBorder="1" applyAlignment="1" applyProtection="1">
      <alignment horizontal="right" shrinkToFit="1"/>
      <protection hidden="1"/>
    </xf>
    <xf numFmtId="0" fontId="33" fillId="2" borderId="0" xfId="0" applyFont="1" applyFill="1" applyBorder="1" applyAlignment="1" applyProtection="1">
      <alignment horizontal="center" shrinkToFit="1"/>
      <protection hidden="1"/>
    </xf>
    <xf numFmtId="0" fontId="33" fillId="2" borderId="4" xfId="0" applyFont="1" applyFill="1" applyBorder="1" applyAlignment="1" applyProtection="1">
      <alignment horizontal="center" shrinkToFit="1"/>
      <protection hidden="1"/>
    </xf>
    <xf numFmtId="183" fontId="33" fillId="2" borderId="18" xfId="3" applyNumberFormat="1" applyFont="1" applyFill="1" applyBorder="1" applyAlignment="1" applyProtection="1">
      <alignment shrinkToFit="1"/>
      <protection locked="0"/>
    </xf>
    <xf numFmtId="183" fontId="33" fillId="2" borderId="0" xfId="3" applyNumberFormat="1" applyFont="1" applyFill="1" applyBorder="1" applyAlignment="1" applyProtection="1">
      <alignment horizontal="center" shrinkToFit="1"/>
      <protection locked="0"/>
    </xf>
    <xf numFmtId="182" fontId="33" fillId="2" borderId="0" xfId="3" applyNumberFormat="1" applyFont="1" applyFill="1" applyBorder="1" applyAlignment="1" applyProtection="1">
      <alignment horizontal="center" shrinkToFit="1"/>
      <protection locked="0"/>
    </xf>
    <xf numFmtId="182" fontId="33" fillId="2" borderId="4" xfId="3" applyNumberFormat="1" applyFont="1" applyFill="1" applyBorder="1" applyAlignment="1" applyProtection="1">
      <alignment horizontal="center" shrinkToFit="1"/>
      <protection locked="0"/>
    </xf>
    <xf numFmtId="0" fontId="76" fillId="2" borderId="21" xfId="0" applyFont="1" applyFill="1" applyBorder="1" applyAlignment="1" applyProtection="1">
      <alignment horizontal="center" shrinkToFit="1"/>
      <protection hidden="1"/>
    </xf>
    <xf numFmtId="1" fontId="76" fillId="2" borderId="3" xfId="0" applyNumberFormat="1" applyFont="1" applyFill="1" applyBorder="1" applyAlignment="1" applyProtection="1">
      <alignment horizontal="center" shrinkToFit="1"/>
      <protection hidden="1"/>
    </xf>
    <xf numFmtId="2" fontId="76" fillId="2" borderId="3" xfId="0" applyNumberFormat="1" applyFont="1" applyFill="1" applyBorder="1" applyAlignment="1" applyProtection="1">
      <alignment horizontal="center" shrinkToFit="1"/>
      <protection hidden="1"/>
    </xf>
    <xf numFmtId="0" fontId="35" fillId="2" borderId="21" xfId="0" applyNumberFormat="1" applyFont="1" applyFill="1" applyBorder="1" applyAlignment="1" applyProtection="1">
      <alignment horizontal="right" shrinkToFit="1"/>
      <protection hidden="1"/>
    </xf>
    <xf numFmtId="0" fontId="35" fillId="2" borderId="3" xfId="0" applyNumberFormat="1" applyFont="1" applyFill="1" applyBorder="1" applyAlignment="1" applyProtection="1">
      <alignment horizontal="center" shrinkToFit="1"/>
      <protection hidden="1"/>
    </xf>
    <xf numFmtId="0" fontId="35" fillId="2" borderId="22" xfId="0" applyNumberFormat="1" applyFont="1" applyFill="1" applyBorder="1" applyAlignment="1" applyProtection="1">
      <alignment horizontal="center" shrinkToFit="1"/>
      <protection hidden="1"/>
    </xf>
    <xf numFmtId="0" fontId="33" fillId="2" borderId="17" xfId="0" applyFont="1" applyFill="1" applyBorder="1" applyAlignment="1" applyProtection="1">
      <alignment horizontal="center" shrinkToFit="1"/>
      <protection hidden="1"/>
    </xf>
    <xf numFmtId="0" fontId="33" fillId="2" borderId="18" xfId="0" applyFont="1" applyFill="1" applyBorder="1" applyAlignment="1" applyProtection="1">
      <alignment horizontal="left" shrinkToFit="1"/>
      <protection hidden="1"/>
    </xf>
    <xf numFmtId="0" fontId="33" fillId="2" borderId="0" xfId="0" applyFont="1" applyFill="1" applyBorder="1" applyAlignment="1">
      <alignment horizontal="center"/>
    </xf>
    <xf numFmtId="2" fontId="70" fillId="9" borderId="18" xfId="0" applyNumberFormat="1" applyFont="1" applyFill="1" applyBorder="1" applyAlignment="1" applyProtection="1">
      <alignment horizontal="center" shrinkToFit="1"/>
      <protection hidden="1"/>
    </xf>
    <xf numFmtId="184" fontId="33" fillId="2" borderId="0" xfId="0" applyNumberFormat="1" applyFont="1" applyFill="1" applyBorder="1" applyAlignment="1" applyProtection="1">
      <alignment horizontal="center" shrinkToFit="1"/>
      <protection hidden="1"/>
    </xf>
    <xf numFmtId="173" fontId="33" fillId="2" borderId="0" xfId="0" applyNumberFormat="1" applyFont="1" applyFill="1" applyBorder="1" applyAlignment="1" applyProtection="1">
      <alignment horizontal="center" shrinkToFit="1"/>
      <protection hidden="1"/>
    </xf>
    <xf numFmtId="173" fontId="33" fillId="2" borderId="4" xfId="0" applyNumberFormat="1" applyFont="1" applyFill="1" applyBorder="1" applyAlignment="1" applyProtection="1">
      <alignment horizontal="center" shrinkToFit="1"/>
      <protection hidden="1"/>
    </xf>
    <xf numFmtId="0" fontId="76" fillId="2" borderId="3" xfId="0" applyFont="1" applyFill="1" applyBorder="1"/>
    <xf numFmtId="173" fontId="76" fillId="2" borderId="3" xfId="0" applyNumberFormat="1" applyFont="1" applyFill="1" applyBorder="1" applyAlignment="1" applyProtection="1">
      <alignment horizontal="center" shrinkToFit="1"/>
      <protection hidden="1"/>
    </xf>
    <xf numFmtId="2" fontId="76" fillId="2" borderId="22" xfId="0" applyNumberFormat="1" applyFont="1" applyFill="1" applyBorder="1" applyAlignment="1" applyProtection="1">
      <alignment horizontal="center" shrinkToFit="1"/>
      <protection hidden="1"/>
    </xf>
    <xf numFmtId="0" fontId="33" fillId="2" borderId="18" xfId="0" applyFont="1" applyFill="1" applyBorder="1" applyAlignment="1" applyProtection="1">
      <alignment horizontal="center" shrinkToFit="1"/>
      <protection hidden="1"/>
    </xf>
    <xf numFmtId="0" fontId="35" fillId="2" borderId="0" xfId="0" applyNumberFormat="1" applyFont="1" applyFill="1" applyBorder="1" applyAlignment="1" applyProtection="1">
      <alignment horizontal="right"/>
      <protection hidden="1"/>
    </xf>
    <xf numFmtId="2" fontId="70" fillId="9" borderId="18" xfId="0" applyNumberFormat="1" applyFont="1" applyFill="1" applyBorder="1" applyAlignment="1" applyProtection="1">
      <alignment horizontal="center" shrinkToFit="1"/>
    </xf>
    <xf numFmtId="169" fontId="37" fillId="2" borderId="0" xfId="0" applyNumberFormat="1" applyFont="1" applyFill="1" applyAlignment="1" applyProtection="1">
      <alignment shrinkToFit="1"/>
      <protection hidden="1"/>
    </xf>
    <xf numFmtId="176" fontId="37" fillId="2" borderId="0" xfId="0" applyNumberFormat="1" applyFont="1" applyFill="1" applyAlignment="1" applyProtection="1">
      <alignment shrinkToFit="1"/>
      <protection hidden="1"/>
    </xf>
    <xf numFmtId="2" fontId="50" fillId="2" borderId="0" xfId="0" applyNumberFormat="1" applyFont="1" applyFill="1" applyBorder="1"/>
    <xf numFmtId="2" fontId="37" fillId="0" borderId="0" xfId="0" applyNumberFormat="1" applyFont="1"/>
    <xf numFmtId="171" fontId="33" fillId="2" borderId="0" xfId="3" applyNumberFormat="1" applyFont="1" applyFill="1" applyAlignment="1" applyProtection="1">
      <alignment shrinkToFit="1"/>
      <protection hidden="1"/>
    </xf>
    <xf numFmtId="171" fontId="33" fillId="9" borderId="0" xfId="3" applyNumberFormat="1" applyFont="1" applyFill="1" applyAlignment="1" applyProtection="1">
      <alignment shrinkToFit="1"/>
      <protection hidden="1"/>
    </xf>
    <xf numFmtId="0" fontId="37" fillId="2" borderId="0" xfId="0" applyFont="1" applyFill="1" applyBorder="1" applyAlignment="1">
      <alignment shrinkToFit="1"/>
    </xf>
    <xf numFmtId="0" fontId="74" fillId="2" borderId="0" xfId="0" applyFont="1" applyFill="1" applyAlignment="1" applyProtection="1">
      <alignment shrinkToFit="1"/>
      <protection hidden="1"/>
    </xf>
    <xf numFmtId="2" fontId="74" fillId="2" borderId="0" xfId="0" applyNumberFormat="1" applyFont="1" applyFill="1" applyAlignment="1" applyProtection="1">
      <alignment shrinkToFit="1"/>
      <protection hidden="1"/>
    </xf>
    <xf numFmtId="0" fontId="37" fillId="2" borderId="0" xfId="0" applyFont="1" applyFill="1" applyBorder="1" applyProtection="1"/>
    <xf numFmtId="0" fontId="35" fillId="2" borderId="0" xfId="1" applyFont="1" applyFill="1" applyBorder="1" applyAlignment="1" applyProtection="1">
      <alignment horizontal="center"/>
    </xf>
    <xf numFmtId="0" fontId="33" fillId="2" borderId="0" xfId="0" applyFont="1" applyFill="1" applyAlignment="1" applyProtection="1">
      <alignment horizontal="left"/>
      <protection hidden="1"/>
    </xf>
    <xf numFmtId="0" fontId="16" fillId="2" borderId="0" xfId="0" applyFont="1" applyFill="1" applyAlignment="1" applyProtection="1">
      <alignment horizontal="center" vertical="center"/>
      <protection hidden="1"/>
    </xf>
    <xf numFmtId="0" fontId="29" fillId="2" borderId="0" xfId="0" applyFont="1" applyFill="1" applyProtection="1">
      <protection hidden="1"/>
    </xf>
    <xf numFmtId="0" fontId="9" fillId="3" borderId="1" xfId="0" applyFont="1" applyFill="1" applyBorder="1" applyAlignment="1" applyProtection="1">
      <alignment vertical="center"/>
      <protection hidden="1"/>
    </xf>
    <xf numFmtId="0" fontId="29" fillId="2" borderId="0" xfId="0" applyFont="1" applyFill="1"/>
    <xf numFmtId="171" fontId="15" fillId="2" borderId="0" xfId="0" applyNumberFormat="1" applyFont="1" applyFill="1" applyAlignment="1" applyProtection="1">
      <alignment shrinkToFit="1"/>
      <protection hidden="1"/>
    </xf>
    <xf numFmtId="0" fontId="50" fillId="2" borderId="0" xfId="0" applyFont="1" applyFill="1" applyAlignment="1" applyProtection="1">
      <alignment shrinkToFit="1"/>
      <protection hidden="1"/>
    </xf>
    <xf numFmtId="171" fontId="15" fillId="2" borderId="0" xfId="0" applyNumberFormat="1" applyFont="1" applyFill="1" applyProtection="1">
      <protection hidden="1"/>
    </xf>
    <xf numFmtId="0" fontId="29" fillId="2" borderId="0" xfId="0" applyFont="1" applyFill="1" applyAlignment="1" applyProtection="1">
      <alignment horizontal="center"/>
      <protection hidden="1"/>
    </xf>
    <xf numFmtId="0" fontId="15" fillId="7" borderId="1" xfId="0" applyFont="1" applyFill="1" applyBorder="1" applyProtection="1">
      <protection locked="0"/>
    </xf>
    <xf numFmtId="11" fontId="15" fillId="2" borderId="0" xfId="0" applyNumberFormat="1" applyFont="1" applyFill="1" applyAlignment="1" applyProtection="1">
      <alignment shrinkToFit="1"/>
    </xf>
    <xf numFmtId="171" fontId="29" fillId="0" borderId="0" xfId="2" applyFont="1" applyProtection="1"/>
    <xf numFmtId="11" fontId="15" fillId="2" borderId="0" xfId="0" applyNumberFormat="1" applyFont="1" applyFill="1" applyProtection="1">
      <protection hidden="1"/>
    </xf>
    <xf numFmtId="0" fontId="12" fillId="2" borderId="0" xfId="1" applyFont="1" applyFill="1" applyBorder="1" applyAlignment="1" applyProtection="1">
      <alignment horizontal="center"/>
      <protection hidden="1"/>
    </xf>
    <xf numFmtId="0" fontId="29" fillId="3" borderId="1" xfId="0" applyFont="1" applyFill="1" applyBorder="1" applyAlignment="1" applyProtection="1">
      <alignment vertical="center"/>
      <protection hidden="1"/>
    </xf>
    <xf numFmtId="0" fontId="15" fillId="2" borderId="0" xfId="0" applyFont="1" applyFill="1" applyAlignment="1" applyProtection="1">
      <alignment shrinkToFit="1"/>
      <protection hidden="1"/>
    </xf>
    <xf numFmtId="0" fontId="43" fillId="2" borderId="0" xfId="0" applyFont="1" applyFill="1" applyAlignment="1">
      <alignment shrinkToFit="1"/>
    </xf>
    <xf numFmtId="0" fontId="48" fillId="2" borderId="0" xfId="0" applyFont="1" applyFill="1"/>
    <xf numFmtId="0" fontId="48" fillId="2" borderId="0" xfId="0" applyFont="1" applyFill="1" applyProtection="1">
      <protection hidden="1"/>
    </xf>
    <xf numFmtId="0" fontId="48" fillId="2" borderId="0" xfId="0" applyFont="1" applyFill="1" applyProtection="1"/>
    <xf numFmtId="0" fontId="43" fillId="2" borderId="0" xfId="0" applyFont="1" applyFill="1" applyAlignment="1" applyProtection="1">
      <alignment horizontal="right"/>
    </xf>
    <xf numFmtId="0" fontId="43" fillId="2" borderId="0" xfId="0" applyFont="1" applyFill="1" applyProtection="1"/>
    <xf numFmtId="0" fontId="43" fillId="2" borderId="0" xfId="0" applyFont="1" applyFill="1" applyProtection="1">
      <protection hidden="1"/>
    </xf>
    <xf numFmtId="0" fontId="48" fillId="0" borderId="0" xfId="0" applyFont="1"/>
    <xf numFmtId="0" fontId="43" fillId="2" borderId="0" xfId="0" applyFont="1" applyFill="1"/>
    <xf numFmtId="0" fontId="15" fillId="2" borderId="0" xfId="0" applyFont="1" applyFill="1" applyAlignment="1" applyProtection="1">
      <alignment horizontal="center"/>
      <protection hidden="1"/>
    </xf>
    <xf numFmtId="0" fontId="29" fillId="3" borderId="1" xfId="0" applyFont="1" applyFill="1" applyBorder="1" applyAlignment="1" applyProtection="1">
      <alignment horizontal="center" vertical="center"/>
      <protection hidden="1"/>
    </xf>
    <xf numFmtId="171" fontId="15" fillId="2" borderId="0" xfId="0" applyNumberFormat="1" applyFont="1" applyFill="1" applyAlignment="1" applyProtection="1">
      <alignment horizontal="center" shrinkToFit="1"/>
      <protection hidden="1"/>
    </xf>
    <xf numFmtId="0" fontId="15" fillId="2" borderId="0" xfId="0" applyFont="1" applyFill="1" applyAlignment="1" applyProtection="1">
      <alignment horizontal="center" shrinkToFit="1"/>
      <protection hidden="1"/>
    </xf>
    <xf numFmtId="0" fontId="48" fillId="2" borderId="0" xfId="0" applyFont="1" applyFill="1" applyAlignment="1" applyProtection="1">
      <alignment horizontal="center"/>
      <protection hidden="1"/>
    </xf>
    <xf numFmtId="11" fontId="15" fillId="2" borderId="0" xfId="0" applyNumberFormat="1" applyFont="1" applyFill="1" applyAlignment="1" applyProtection="1">
      <alignment horizontal="center"/>
      <protection hidden="1"/>
    </xf>
    <xf numFmtId="0" fontId="48" fillId="2" borderId="0" xfId="0" applyFont="1" applyFill="1" applyAlignment="1">
      <alignment horizontal="center"/>
    </xf>
    <xf numFmtId="11" fontId="15" fillId="2" borderId="0" xfId="0" applyNumberFormat="1" applyFont="1" applyFill="1" applyAlignment="1">
      <alignment horizontal="center"/>
    </xf>
    <xf numFmtId="0" fontId="15" fillId="0" borderId="0" xfId="0" applyFont="1" applyAlignment="1">
      <alignment horizontal="center"/>
    </xf>
    <xf numFmtId="2" fontId="23" fillId="4" borderId="13" xfId="0" applyNumberFormat="1" applyFont="1" applyFill="1" applyBorder="1" applyAlignment="1" applyProtection="1">
      <alignment shrinkToFit="1"/>
      <protection locked="0"/>
    </xf>
    <xf numFmtId="2" fontId="23" fillId="4" borderId="23" xfId="0" applyNumberFormat="1" applyFont="1" applyFill="1" applyBorder="1" applyAlignment="1" applyProtection="1">
      <alignment shrinkToFit="1"/>
      <protection locked="0"/>
    </xf>
    <xf numFmtId="0" fontId="23" fillId="2" borderId="26" xfId="0" applyFont="1" applyFill="1" applyBorder="1"/>
    <xf numFmtId="2" fontId="23" fillId="11" borderId="14" xfId="0" applyNumberFormat="1" applyFont="1" applyFill="1" applyBorder="1" applyAlignment="1">
      <alignment shrinkToFit="1"/>
    </xf>
    <xf numFmtId="2" fontId="23" fillId="11" borderId="15" xfId="0" applyNumberFormat="1" applyFont="1" applyFill="1" applyBorder="1" applyAlignment="1">
      <alignment shrinkToFit="1"/>
    </xf>
    <xf numFmtId="2" fontId="23" fillId="11" borderId="1" xfId="0" applyNumberFormat="1" applyFont="1" applyFill="1" applyBorder="1" applyAlignment="1">
      <alignment shrinkToFit="1"/>
    </xf>
    <xf numFmtId="173" fontId="23" fillId="11" borderId="1" xfId="0" applyNumberFormat="1" applyFont="1" applyFill="1" applyBorder="1" applyAlignment="1">
      <alignment shrinkToFit="1"/>
    </xf>
    <xf numFmtId="0" fontId="15" fillId="2" borderId="2" xfId="0" applyFont="1" applyFill="1" applyBorder="1"/>
    <xf numFmtId="2" fontId="48" fillId="2" borderId="0" xfId="0" applyNumberFormat="1" applyFont="1" applyFill="1"/>
    <xf numFmtId="2" fontId="48" fillId="2" borderId="10" xfId="0" applyNumberFormat="1" applyFont="1" applyFill="1" applyBorder="1"/>
    <xf numFmtId="0" fontId="23" fillId="2" borderId="0" xfId="0" applyFont="1" applyFill="1" applyAlignment="1">
      <alignment horizontal="right"/>
    </xf>
    <xf numFmtId="0" fontId="28" fillId="2" borderId="0" xfId="0" applyFont="1" applyFill="1" applyAlignment="1">
      <alignment horizontal="left"/>
    </xf>
    <xf numFmtId="0" fontId="21" fillId="2" borderId="0" xfId="0" applyFont="1" applyFill="1" applyBorder="1" applyAlignment="1" applyProtection="1">
      <alignment horizontal="center" shrinkToFit="1"/>
    </xf>
    <xf numFmtId="2" fontId="33" fillId="2" borderId="0" xfId="0" applyNumberFormat="1" applyFont="1" applyFill="1" applyAlignment="1" applyProtection="1">
      <alignment shrinkToFit="1"/>
      <protection hidden="1"/>
    </xf>
    <xf numFmtId="0" fontId="83" fillId="12" borderId="1" xfId="0" applyFont="1" applyFill="1" applyBorder="1" applyAlignment="1">
      <alignment horizontal="center" vertical="center"/>
    </xf>
    <xf numFmtId="0" fontId="37" fillId="2" borderId="8" xfId="0" applyFont="1" applyFill="1" applyBorder="1"/>
    <xf numFmtId="0" fontId="23" fillId="2" borderId="10" xfId="0" applyFont="1" applyFill="1" applyBorder="1" applyProtection="1"/>
    <xf numFmtId="0" fontId="23" fillId="2" borderId="14" xfId="0" applyFont="1" applyFill="1" applyBorder="1" applyProtection="1"/>
    <xf numFmtId="0" fontId="43" fillId="3" borderId="1" xfId="0" applyFont="1" applyFill="1" applyBorder="1" applyAlignment="1" applyProtection="1">
      <alignment vertical="center"/>
      <protection hidden="1"/>
    </xf>
    <xf numFmtId="0" fontId="43" fillId="3" borderId="1" xfId="0" applyFont="1" applyFill="1" applyBorder="1" applyAlignment="1" applyProtection="1">
      <alignment horizontal="center" vertical="center"/>
      <protection hidden="1"/>
    </xf>
    <xf numFmtId="0" fontId="16" fillId="2" borderId="0" xfId="0" applyFont="1" applyFill="1" applyAlignment="1" applyProtection="1">
      <alignment horizontal="left"/>
      <protection hidden="1"/>
    </xf>
    <xf numFmtId="0" fontId="39" fillId="2" borderId="0" xfId="0" applyNumberFormat="1" applyFont="1" applyFill="1" applyAlignment="1" applyProtection="1">
      <alignment wrapText="1"/>
      <protection hidden="1"/>
    </xf>
    <xf numFmtId="0" fontId="1" fillId="2" borderId="0" xfId="0" applyFont="1" applyFill="1" applyProtection="1">
      <protection hidden="1"/>
    </xf>
    <xf numFmtId="0" fontId="72" fillId="2" borderId="0" xfId="1" applyFont="1" applyFill="1" applyBorder="1" applyAlignment="1" applyProtection="1">
      <alignment vertical="center"/>
      <protection hidden="1"/>
    </xf>
    <xf numFmtId="0" fontId="16" fillId="2" borderId="0" xfId="0" applyFont="1" applyFill="1" applyBorder="1" applyAlignment="1" applyProtection="1">
      <protection hidden="1"/>
    </xf>
    <xf numFmtId="0" fontId="1" fillId="2" borderId="0" xfId="0" applyFont="1" applyFill="1" applyBorder="1" applyProtection="1">
      <protection hidden="1"/>
    </xf>
    <xf numFmtId="0" fontId="0" fillId="2" borderId="0" xfId="0" applyFill="1" applyAlignment="1" applyProtection="1">
      <protection hidden="1"/>
    </xf>
    <xf numFmtId="0" fontId="42" fillId="2" borderId="0" xfId="1" applyFont="1" applyFill="1" applyBorder="1" applyAlignment="1" applyProtection="1">
      <alignment horizontal="center" vertical="center"/>
      <protection hidden="1"/>
    </xf>
    <xf numFmtId="0" fontId="42" fillId="2" borderId="0" xfId="1" applyFont="1" applyFill="1" applyBorder="1" applyAlignment="1" applyProtection="1">
      <protection hidden="1"/>
    </xf>
    <xf numFmtId="0" fontId="9" fillId="2" borderId="0" xfId="0" applyFont="1" applyFill="1" applyAlignment="1" applyProtection="1">
      <alignment vertical="top" wrapText="1"/>
      <protection hidden="1"/>
    </xf>
    <xf numFmtId="0" fontId="9" fillId="2" borderId="0" xfId="0" quotePrefix="1" applyFont="1" applyFill="1" applyBorder="1" applyAlignment="1" applyProtection="1">
      <alignment vertical="top" wrapText="1"/>
      <protection hidden="1"/>
    </xf>
    <xf numFmtId="0" fontId="9" fillId="2" borderId="0" xfId="0" quotePrefix="1" applyFont="1" applyFill="1" applyAlignment="1" applyProtection="1">
      <alignment vertical="top" wrapText="1"/>
      <protection hidden="1"/>
    </xf>
    <xf numFmtId="0" fontId="1" fillId="2" borderId="0" xfId="0" applyFont="1" applyFill="1" applyAlignment="1" applyProtection="1">
      <alignment horizontal="left"/>
      <protection hidden="1"/>
    </xf>
    <xf numFmtId="0" fontId="9" fillId="2" borderId="0" xfId="0" applyFont="1" applyFill="1" applyBorder="1" applyAlignment="1" applyProtection="1">
      <alignment horizontal="justify" wrapText="1"/>
      <protection hidden="1"/>
    </xf>
    <xf numFmtId="0" fontId="1" fillId="2" borderId="0" xfId="0" applyFont="1" applyFill="1" applyBorder="1" applyAlignment="1" applyProtection="1">
      <alignment horizontal="justify"/>
      <protection hidden="1"/>
    </xf>
    <xf numFmtId="0" fontId="0" fillId="13" borderId="0" xfId="0" applyFill="1"/>
    <xf numFmtId="0" fontId="23" fillId="2" borderId="0" xfId="0" applyFont="1" applyFill="1" applyAlignment="1" applyProtection="1">
      <alignment horizontal="justify" wrapText="1"/>
      <protection hidden="1"/>
    </xf>
    <xf numFmtId="0" fontId="38" fillId="2" borderId="0" xfId="0" applyFont="1" applyFill="1" applyAlignment="1" applyProtection="1">
      <alignment horizontal="justify" wrapText="1"/>
      <protection hidden="1"/>
    </xf>
    <xf numFmtId="0" fontId="42" fillId="3" borderId="13" xfId="1" applyFont="1" applyFill="1" applyBorder="1" applyAlignment="1" applyProtection="1">
      <alignment horizontal="center"/>
    </xf>
    <xf numFmtId="0" fontId="42" fillId="3" borderId="10" xfId="1" applyFont="1" applyFill="1" applyBorder="1" applyAlignment="1" applyProtection="1">
      <alignment horizontal="center"/>
    </xf>
    <xf numFmtId="0" fontId="42" fillId="3" borderId="14" xfId="1" applyFont="1" applyFill="1" applyBorder="1" applyAlignment="1" applyProtection="1">
      <alignment horizontal="center"/>
    </xf>
    <xf numFmtId="0" fontId="23" fillId="2" borderId="0" xfId="0" quotePrefix="1" applyFont="1" applyFill="1" applyAlignment="1" applyProtection="1">
      <alignment horizontal="justify" wrapText="1"/>
      <protection hidden="1"/>
    </xf>
    <xf numFmtId="0" fontId="9" fillId="2" borderId="0" xfId="0" applyFont="1" applyFill="1" applyAlignment="1" applyProtection="1">
      <alignment horizontal="center" vertical="top" wrapText="1"/>
      <protection hidden="1"/>
    </xf>
    <xf numFmtId="0" fontId="9" fillId="2" borderId="0" xfId="0" quotePrefix="1" applyFont="1" applyFill="1" applyAlignment="1" applyProtection="1">
      <alignment horizontal="center" vertical="top" wrapText="1"/>
      <protection hidden="1"/>
    </xf>
    <xf numFmtId="0" fontId="9" fillId="2" borderId="0" xfId="0" applyFont="1" applyFill="1" applyAlignment="1" applyProtection="1">
      <alignment horizontal="center" wrapText="1"/>
      <protection hidden="1"/>
    </xf>
    <xf numFmtId="0" fontId="30" fillId="2" borderId="0" xfId="0" applyFont="1" applyFill="1" applyAlignment="1" applyProtection="1">
      <alignment horizontal="center" wrapText="1"/>
      <protection hidden="1"/>
    </xf>
    <xf numFmtId="0" fontId="39" fillId="2" borderId="0" xfId="0" quotePrefix="1" applyFont="1" applyFill="1" applyAlignment="1" applyProtection="1">
      <alignment horizontal="justify" wrapText="1"/>
      <protection hidden="1"/>
    </xf>
    <xf numFmtId="0" fontId="39" fillId="2" borderId="0" xfId="0" applyNumberFormat="1" applyFont="1" applyFill="1" applyAlignment="1" applyProtection="1">
      <alignment horizontal="justify" wrapText="1"/>
      <protection hidden="1"/>
    </xf>
    <xf numFmtId="0" fontId="23" fillId="2" borderId="0" xfId="0" applyNumberFormat="1" applyFont="1" applyFill="1" applyAlignment="1" applyProtection="1">
      <alignment horizontal="justify" wrapText="1"/>
      <protection hidden="1"/>
    </xf>
    <xf numFmtId="0" fontId="39" fillId="2" borderId="0" xfId="0" applyFont="1" applyFill="1" applyAlignment="1" applyProtection="1">
      <alignment horizontal="justify" wrapText="1"/>
      <protection hidden="1"/>
    </xf>
    <xf numFmtId="0" fontId="23" fillId="2" borderId="0" xfId="0" applyNumberFormat="1" applyFont="1" applyFill="1" applyAlignment="1" applyProtection="1">
      <alignment horizontal="left" wrapText="1"/>
      <protection hidden="1"/>
    </xf>
    <xf numFmtId="0" fontId="30" fillId="2" borderId="0" xfId="0" quotePrefix="1" applyFont="1" applyFill="1" applyAlignment="1" applyProtection="1">
      <alignment horizontal="justify" wrapText="1"/>
      <protection hidden="1"/>
    </xf>
    <xf numFmtId="0" fontId="40" fillId="2" borderId="0" xfId="0" applyNumberFormat="1" applyFont="1" applyFill="1" applyAlignment="1" applyProtection="1">
      <alignment horizontal="justify" wrapText="1"/>
      <protection hidden="1"/>
    </xf>
    <xf numFmtId="0" fontId="38" fillId="2" borderId="0" xfId="0" applyNumberFormat="1" applyFont="1" applyFill="1" applyAlignment="1" applyProtection="1">
      <alignment horizontal="justify" wrapText="1"/>
      <protection hidden="1"/>
    </xf>
    <xf numFmtId="0" fontId="41" fillId="2" borderId="0" xfId="0" applyFont="1" applyFill="1" applyAlignment="1" applyProtection="1">
      <alignment horizontal="justify" wrapText="1"/>
      <protection hidden="1"/>
    </xf>
    <xf numFmtId="0" fontId="28" fillId="2" borderId="0" xfId="0" quotePrefix="1" applyFont="1" applyFill="1" applyAlignment="1" applyProtection="1">
      <alignment horizontal="justify" wrapText="1"/>
      <protection hidden="1"/>
    </xf>
    <xf numFmtId="0" fontId="30" fillId="2" borderId="0" xfId="0" applyFont="1" applyFill="1" applyAlignment="1" applyProtection="1">
      <alignment horizontal="justify" wrapText="1"/>
      <protection hidden="1"/>
    </xf>
    <xf numFmtId="0" fontId="41" fillId="2" borderId="0" xfId="0" quotePrefix="1" applyFont="1" applyFill="1" applyAlignment="1" applyProtection="1">
      <alignment horizontal="justify" wrapText="1"/>
      <protection hidden="1"/>
    </xf>
    <xf numFmtId="2" fontId="23" fillId="2" borderId="13" xfId="0" applyNumberFormat="1" applyFont="1" applyFill="1" applyBorder="1" applyAlignment="1" applyProtection="1">
      <alignment horizontal="center"/>
      <protection hidden="1"/>
    </xf>
    <xf numFmtId="2" fontId="23" fillId="2" borderId="10" xfId="0" applyNumberFormat="1" applyFont="1" applyFill="1" applyBorder="1" applyAlignment="1" applyProtection="1">
      <alignment horizontal="center"/>
      <protection hidden="1"/>
    </xf>
    <xf numFmtId="2" fontId="23" fillId="2" borderId="14" xfId="0" applyNumberFormat="1" applyFont="1" applyFill="1" applyBorder="1" applyAlignment="1" applyProtection="1">
      <alignment horizontal="center"/>
      <protection hidden="1"/>
    </xf>
    <xf numFmtId="0" fontId="21" fillId="2" borderId="0" xfId="0" applyFont="1" applyFill="1" applyAlignment="1" applyProtection="1">
      <alignment horizontal="left" shrinkToFit="1"/>
    </xf>
    <xf numFmtId="0" fontId="23" fillId="2" borderId="13" xfId="0" applyFont="1" applyFill="1" applyBorder="1" applyAlignment="1" applyProtection="1">
      <alignment horizontal="left"/>
      <protection locked="0" hidden="1"/>
    </xf>
    <xf numFmtId="0" fontId="23" fillId="2" borderId="10" xfId="0" applyFont="1" applyFill="1" applyBorder="1" applyAlignment="1" applyProtection="1">
      <alignment horizontal="left"/>
      <protection locked="0" hidden="1"/>
    </xf>
    <xf numFmtId="0" fontId="23" fillId="2" borderId="14" xfId="0" applyFont="1" applyFill="1" applyBorder="1" applyAlignment="1" applyProtection="1">
      <alignment horizontal="left"/>
      <protection locked="0" hidden="1"/>
    </xf>
    <xf numFmtId="0" fontId="9" fillId="3" borderId="13" xfId="0"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2" fontId="22" fillId="2" borderId="2" xfId="0" applyNumberFormat="1" applyFont="1" applyFill="1" applyBorder="1" applyAlignment="1">
      <alignment horizontal="center" shrinkToFit="1"/>
    </xf>
    <xf numFmtId="1" fontId="23" fillId="2" borderId="13" xfId="0" applyNumberFormat="1" applyFont="1" applyFill="1" applyBorder="1" applyAlignment="1" applyProtection="1">
      <alignment horizontal="center" shrinkToFit="1"/>
      <protection hidden="1"/>
    </xf>
    <xf numFmtId="1" fontId="23" fillId="2" borderId="10" xfId="0" applyNumberFormat="1" applyFont="1" applyFill="1" applyBorder="1" applyAlignment="1" applyProtection="1">
      <alignment horizontal="center" shrinkToFit="1"/>
      <protection hidden="1"/>
    </xf>
    <xf numFmtId="1" fontId="23" fillId="2" borderId="14" xfId="0" applyNumberFormat="1" applyFont="1" applyFill="1" applyBorder="1" applyAlignment="1" applyProtection="1">
      <alignment horizontal="center" shrinkToFit="1"/>
      <protection hidden="1"/>
    </xf>
    <xf numFmtId="2" fontId="23" fillId="2" borderId="13" xfId="0" applyNumberFormat="1" applyFont="1" applyFill="1" applyBorder="1" applyAlignment="1" applyProtection="1">
      <alignment horizontal="center" shrinkToFit="1"/>
      <protection hidden="1"/>
    </xf>
    <xf numFmtId="2" fontId="23" fillId="2" borderId="10" xfId="0" applyNumberFormat="1" applyFont="1" applyFill="1" applyBorder="1" applyAlignment="1" applyProtection="1">
      <alignment horizontal="center" shrinkToFit="1"/>
      <protection hidden="1"/>
    </xf>
    <xf numFmtId="2" fontId="23" fillId="2" borderId="14" xfId="0" applyNumberFormat="1" applyFont="1" applyFill="1" applyBorder="1" applyAlignment="1" applyProtection="1">
      <alignment horizontal="center" shrinkToFit="1"/>
      <protection hidden="1"/>
    </xf>
    <xf numFmtId="0" fontId="9" fillId="3" borderId="10"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3" fillId="4" borderId="13" xfId="0" applyFont="1" applyFill="1" applyBorder="1" applyAlignment="1" applyProtection="1">
      <alignment horizontal="center" shrinkToFit="1"/>
      <protection locked="0"/>
    </xf>
    <xf numFmtId="0" fontId="23" fillId="4" borderId="14" xfId="0" applyFont="1" applyFill="1" applyBorder="1" applyAlignment="1" applyProtection="1">
      <alignment horizontal="center" shrinkToFit="1"/>
      <protection locked="0"/>
    </xf>
    <xf numFmtId="0" fontId="23" fillId="7" borderId="13" xfId="0" applyFont="1" applyFill="1" applyBorder="1" applyAlignment="1" applyProtection="1">
      <alignment horizontal="center" shrinkToFit="1"/>
      <protection locked="0"/>
    </xf>
    <xf numFmtId="0" fontId="23" fillId="7" borderId="14" xfId="0" applyFont="1" applyFill="1" applyBorder="1" applyAlignment="1" applyProtection="1">
      <alignment horizontal="center" shrinkToFit="1"/>
      <protection locked="0"/>
    </xf>
    <xf numFmtId="0" fontId="23" fillId="7" borderId="10" xfId="0" applyFont="1" applyFill="1" applyBorder="1" applyAlignment="1" applyProtection="1">
      <alignment horizontal="center" shrinkToFit="1"/>
      <protection locked="0"/>
    </xf>
    <xf numFmtId="0" fontId="23" fillId="4" borderId="10" xfId="0" applyFont="1" applyFill="1" applyBorder="1" applyAlignment="1" applyProtection="1">
      <alignment horizontal="center" shrinkToFit="1"/>
      <protection locked="0"/>
    </xf>
    <xf numFmtId="2" fontId="48" fillId="2" borderId="25" xfId="0" applyNumberFormat="1" applyFont="1" applyFill="1" applyBorder="1" applyAlignment="1" applyProtection="1">
      <alignment horizontal="left" vertical="center" shrinkToFit="1"/>
      <protection locked="0"/>
    </xf>
    <xf numFmtId="2" fontId="48" fillId="2" borderId="0" xfId="0" applyNumberFormat="1" applyFont="1" applyFill="1" applyAlignment="1" applyProtection="1">
      <alignment horizontal="left" vertical="center" shrinkToFit="1"/>
      <protection locked="0"/>
    </xf>
    <xf numFmtId="2" fontId="23" fillId="2" borderId="25" xfId="0" applyNumberFormat="1" applyFont="1" applyFill="1" applyBorder="1" applyAlignment="1" applyProtection="1">
      <alignment horizontal="left" vertical="center" shrinkToFit="1"/>
      <protection locked="0"/>
    </xf>
    <xf numFmtId="2" fontId="23" fillId="2" borderId="0" xfId="0" applyNumberFormat="1" applyFont="1" applyFill="1" applyAlignment="1" applyProtection="1">
      <alignment horizontal="left" vertical="center" shrinkToFit="1"/>
      <protection locked="0"/>
    </xf>
    <xf numFmtId="0" fontId="21" fillId="2" borderId="0" xfId="0" applyFont="1" applyFill="1" applyBorder="1" applyAlignment="1" applyProtection="1">
      <alignment horizontal="center" shrinkToFit="1"/>
    </xf>
    <xf numFmtId="0" fontId="21" fillId="2" borderId="10" xfId="0" applyFont="1" applyFill="1" applyBorder="1" applyAlignment="1" applyProtection="1">
      <alignment horizontal="center" shrinkToFit="1"/>
    </xf>
    <xf numFmtId="0" fontId="23" fillId="2" borderId="25" xfId="0" applyFont="1" applyFill="1" applyBorder="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1" fillId="2" borderId="12" xfId="0" applyFont="1" applyFill="1" applyBorder="1" applyAlignment="1" applyProtection="1">
      <alignment horizontal="center" shrinkToFit="1"/>
    </xf>
    <xf numFmtId="0" fontId="28" fillId="2" borderId="13" xfId="0" applyFont="1" applyFill="1" applyBorder="1" applyAlignment="1" applyProtection="1">
      <alignment horizontal="center" wrapText="1"/>
      <protection hidden="1"/>
    </xf>
    <xf numFmtId="0" fontId="28" fillId="2" borderId="10" xfId="0" applyFont="1" applyFill="1" applyBorder="1" applyAlignment="1" applyProtection="1">
      <alignment horizontal="center" wrapText="1"/>
      <protection hidden="1"/>
    </xf>
    <xf numFmtId="0" fontId="28" fillId="2" borderId="14" xfId="0" applyFont="1" applyFill="1" applyBorder="1" applyAlignment="1" applyProtection="1">
      <alignment horizontal="center" wrapText="1"/>
      <protection hidden="1"/>
    </xf>
    <xf numFmtId="0" fontId="81" fillId="3" borderId="13" xfId="1" applyFont="1" applyFill="1" applyBorder="1" applyAlignment="1" applyProtection="1">
      <alignment horizontal="center"/>
    </xf>
    <xf numFmtId="0" fontId="81" fillId="3" borderId="10" xfId="1" applyFont="1" applyFill="1" applyBorder="1" applyAlignment="1" applyProtection="1">
      <alignment horizontal="center"/>
    </xf>
    <xf numFmtId="0" fontId="81" fillId="3" borderId="14" xfId="1" applyFont="1" applyFill="1" applyBorder="1" applyAlignment="1" applyProtection="1">
      <alignment horizontal="center"/>
    </xf>
    <xf numFmtId="2" fontId="33" fillId="2" borderId="0" xfId="0" applyNumberFormat="1" applyFont="1" applyFill="1" applyAlignment="1" applyProtection="1">
      <alignment horizontal="right" shrinkToFit="1"/>
      <protection hidden="1"/>
    </xf>
    <xf numFmtId="0" fontId="78" fillId="3" borderId="13" xfId="1" applyFont="1" applyFill="1" applyBorder="1" applyAlignment="1" applyProtection="1">
      <alignment horizontal="center"/>
    </xf>
    <xf numFmtId="0" fontId="78" fillId="3" borderId="10" xfId="1" applyFont="1" applyFill="1" applyBorder="1" applyAlignment="1" applyProtection="1">
      <alignment horizontal="center"/>
    </xf>
    <xf numFmtId="0" fontId="78" fillId="3" borderId="14" xfId="1" applyFont="1" applyFill="1" applyBorder="1" applyAlignment="1" applyProtection="1">
      <alignment horizontal="center"/>
    </xf>
    <xf numFmtId="0" fontId="33" fillId="2" borderId="0" xfId="0" applyFont="1" applyFill="1" applyAlignment="1" applyProtection="1">
      <alignment horizontal="left" shrinkToFit="1"/>
      <protection hidden="1"/>
    </xf>
    <xf numFmtId="0" fontId="74" fillId="2" borderId="0" xfId="0" applyFont="1" applyFill="1" applyAlignment="1" applyProtection="1">
      <alignment horizontal="center" shrinkToFit="1"/>
      <protection hidden="1"/>
    </xf>
    <xf numFmtId="169" fontId="33" fillId="9" borderId="0" xfId="3" applyFont="1" applyFill="1" applyAlignment="1" applyProtection="1">
      <alignment shrinkToFit="1"/>
      <protection hidden="1"/>
    </xf>
    <xf numFmtId="0" fontId="37" fillId="2" borderId="0" xfId="0" applyFont="1" applyFill="1" applyAlignment="1" applyProtection="1">
      <alignment shrinkToFit="1"/>
      <protection hidden="1"/>
    </xf>
    <xf numFmtId="0" fontId="33" fillId="2" borderId="0" xfId="0" applyFont="1" applyFill="1" applyAlignment="1" applyProtection="1">
      <alignment horizontal="center" shrinkToFit="1"/>
      <protection hidden="1"/>
    </xf>
    <xf numFmtId="0" fontId="74" fillId="2" borderId="0" xfId="0" applyFont="1" applyFill="1" applyBorder="1" applyAlignment="1" applyProtection="1">
      <alignment horizontal="center" shrinkToFit="1"/>
      <protection hidden="1"/>
    </xf>
    <xf numFmtId="169" fontId="33" fillId="2" borderId="0" xfId="3" applyFont="1" applyFill="1" applyAlignment="1" applyProtection="1">
      <alignment shrinkToFit="1"/>
      <protection hidden="1"/>
    </xf>
    <xf numFmtId="0" fontId="37" fillId="2" borderId="0" xfId="0" applyFont="1" applyFill="1" applyAlignment="1" applyProtection="1">
      <alignment horizontal="center" shrinkToFit="1"/>
      <protection hidden="1"/>
    </xf>
    <xf numFmtId="169" fontId="74" fillId="9" borderId="0" xfId="3" applyFont="1" applyFill="1" applyAlignment="1" applyProtection="1">
      <alignment horizontal="center" shrinkToFit="1"/>
      <protection hidden="1"/>
    </xf>
    <xf numFmtId="0" fontId="33" fillId="2" borderId="0" xfId="0" applyFont="1" applyFill="1" applyAlignment="1" applyProtection="1">
      <alignment shrinkToFit="1"/>
      <protection hidden="1"/>
    </xf>
    <xf numFmtId="0" fontId="33" fillId="2" borderId="8" xfId="0" applyFont="1" applyFill="1" applyBorder="1" applyAlignment="1" applyProtection="1">
      <alignment horizontal="center" shrinkToFit="1"/>
      <protection hidden="1"/>
    </xf>
    <xf numFmtId="2" fontId="70" fillId="2" borderId="0" xfId="0" applyNumberFormat="1" applyFont="1" applyFill="1" applyAlignment="1" applyProtection="1">
      <alignment horizontal="right" shrinkToFit="1"/>
      <protection hidden="1"/>
    </xf>
    <xf numFmtId="0" fontId="33" fillId="2" borderId="16" xfId="0" applyFont="1" applyFill="1" applyBorder="1" applyAlignment="1" applyProtection="1">
      <alignment horizontal="left" shrinkToFit="1"/>
      <protection hidden="1"/>
    </xf>
    <xf numFmtId="0" fontId="33" fillId="2" borderId="8" xfId="0" applyFont="1" applyFill="1" applyBorder="1" applyAlignment="1" applyProtection="1">
      <alignment horizontal="left" shrinkToFit="1"/>
      <protection hidden="1"/>
    </xf>
    <xf numFmtId="0" fontId="74" fillId="2" borderId="0" xfId="0" applyFont="1" applyFill="1" applyAlignment="1" applyProtection="1">
      <alignment horizontal="right" shrinkToFit="1"/>
      <protection hidden="1"/>
    </xf>
    <xf numFmtId="0" fontId="29" fillId="2" borderId="0" xfId="0" applyFont="1" applyFill="1" applyAlignment="1" applyProtection="1">
      <alignment horizontal="left"/>
      <protection hidden="1"/>
    </xf>
    <xf numFmtId="0" fontId="43" fillId="2" borderId="0" xfId="0" applyFont="1" applyFill="1" applyAlignment="1">
      <alignment horizontal="right" shrinkToFit="1"/>
    </xf>
    <xf numFmtId="0" fontId="43" fillId="2" borderId="0" xfId="0" applyFont="1" applyFill="1" applyAlignment="1">
      <alignment horizontal="center" shrinkToFit="1"/>
    </xf>
    <xf numFmtId="0" fontId="43" fillId="2" borderId="13" xfId="0" applyFont="1" applyFill="1" applyBorder="1" applyAlignment="1">
      <alignment horizontal="center"/>
    </xf>
    <xf numFmtId="0" fontId="43" fillId="2" borderId="10" xfId="0" applyFont="1" applyFill="1" applyBorder="1" applyAlignment="1">
      <alignment horizontal="center"/>
    </xf>
    <xf numFmtId="0" fontId="43" fillId="2" borderId="14" xfId="0" applyFont="1" applyFill="1" applyBorder="1" applyAlignment="1">
      <alignment horizontal="center"/>
    </xf>
    <xf numFmtId="0" fontId="23" fillId="2" borderId="0" xfId="0" applyFont="1" applyFill="1" applyBorder="1" applyAlignment="1" applyProtection="1">
      <alignment horizontal="left" wrapText="1"/>
      <protection hidden="1"/>
    </xf>
    <xf numFmtId="0" fontId="23" fillId="2" borderId="0" xfId="0" applyFont="1" applyFill="1" applyAlignment="1" applyProtection="1">
      <alignment horizontal="left" vertical="center" wrapText="1"/>
      <protection hidden="1"/>
    </xf>
    <xf numFmtId="0" fontId="85" fillId="9" borderId="12" xfId="1" applyFont="1" applyFill="1" applyBorder="1" applyAlignment="1" applyProtection="1">
      <alignment horizontal="center" vertical="center"/>
      <protection hidden="1"/>
    </xf>
    <xf numFmtId="0" fontId="85" fillId="9" borderId="28" xfId="1" applyFont="1" applyFill="1" applyBorder="1" applyAlignment="1" applyProtection="1">
      <alignment horizontal="center" vertical="center"/>
      <protection hidden="1"/>
    </xf>
    <xf numFmtId="0" fontId="23" fillId="2" borderId="0" xfId="0" applyNumberFormat="1" applyFont="1" applyFill="1" applyAlignment="1" applyProtection="1">
      <alignment horizontal="left" vertical="top" wrapText="1"/>
      <protection hidden="1"/>
    </xf>
    <xf numFmtId="0" fontId="23" fillId="2" borderId="0" xfId="0" applyFont="1" applyFill="1" applyBorder="1" applyAlignment="1" applyProtection="1">
      <alignment horizontal="justify" wrapText="1"/>
      <protection hidden="1"/>
    </xf>
    <xf numFmtId="0" fontId="42" fillId="2" borderId="0" xfId="1" applyFont="1" applyFill="1" applyBorder="1" applyAlignment="1" applyProtection="1">
      <alignment horizontal="center"/>
      <protection hidden="1"/>
    </xf>
    <xf numFmtId="0" fontId="28" fillId="2" borderId="0" xfId="0" applyFont="1" applyFill="1" applyBorder="1" applyAlignment="1" applyProtection="1">
      <alignment horizontal="left"/>
      <protection hidden="1"/>
    </xf>
  </cellXfs>
  <cellStyles count="4">
    <cellStyle name="Hiperligação" xfId="1" builtinId="8"/>
    <cellStyle name="Normal" xfId="0" builtinId="0"/>
    <cellStyle name="Separador de milhares [0]" xfId="3" builtinId="6"/>
    <cellStyle name="Vírgula" xfId="2" builtinId="3"/>
  </cellStyles>
  <dxfs count="145">
    <dxf>
      <fill>
        <patternFill>
          <bgColor indexed="11"/>
        </patternFill>
      </fill>
    </dxf>
    <dxf>
      <font>
        <condense val="0"/>
        <extend val="0"/>
        <color indexed="8"/>
      </font>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fill>
        <patternFill>
          <bgColor indexed="11"/>
        </patternFill>
      </fill>
    </dxf>
    <dxf>
      <font>
        <condense val="0"/>
        <extend val="0"/>
        <color indexed="8"/>
      </font>
      <fill>
        <patternFill>
          <bgColor indexed="10"/>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9"/>
        </patternFill>
      </fill>
    </dxf>
    <dxf>
      <font>
        <b/>
        <i val="0"/>
        <strike val="0"/>
        <condense val="0"/>
        <extend val="0"/>
        <outline val="0"/>
        <shadow val="0"/>
        <u val="none"/>
        <vertAlign val="baseline"/>
        <sz val="10"/>
        <color auto="1"/>
        <name val="Arial"/>
        <scheme val="none"/>
      </font>
      <fill>
        <patternFill patternType="solid">
          <fgColor indexed="64"/>
          <bgColor indexed="52"/>
        </patternFill>
      </fill>
      <alignment horizontal="right" vertical="bottom" textRotation="0" wrapText="0"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indexed="9"/>
        </patternFill>
      </fill>
    </dxf>
    <dxf>
      <font>
        <b val="0"/>
        <i val="0"/>
        <strike val="0"/>
        <condense val="0"/>
        <extend val="0"/>
        <outline val="0"/>
        <shadow val="0"/>
        <u val="none"/>
        <vertAlign val="baseline"/>
        <sz val="14"/>
        <color auto="1"/>
        <name val="Arial"/>
        <scheme val="none"/>
      </font>
      <numFmt numFmtId="0" formatCode="General"/>
      <fill>
        <patternFill patternType="solid">
          <fgColor indexed="64"/>
          <bgColor indexed="9"/>
        </patternFill>
      </fill>
    </dxf>
    <dxf>
      <fill>
        <patternFill>
          <bgColor indexed="11"/>
        </patternFill>
      </fill>
    </dxf>
    <dxf>
      <fill>
        <patternFill>
          <bgColor indexed="10"/>
        </patternFill>
      </fill>
    </dxf>
    <dxf>
      <font>
        <b/>
        <i val="0"/>
        <condense val="0"/>
        <extend val="0"/>
        <color indexed="8"/>
      </font>
      <fill>
        <patternFill>
          <bgColor indexed="11"/>
        </patternFill>
      </fill>
    </dxf>
    <dxf>
      <font>
        <b/>
        <i val="0"/>
        <condense val="0"/>
        <extend val="0"/>
        <color indexed="8"/>
      </font>
      <fill>
        <patternFill>
          <bgColor indexed="10"/>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b/>
        <i val="0"/>
        <condense val="0"/>
        <extend val="0"/>
        <color indexed="8"/>
      </font>
      <fill>
        <patternFill>
          <bgColor indexed="11"/>
        </patternFill>
      </fill>
    </dxf>
    <dxf>
      <font>
        <b/>
        <i val="0"/>
        <condense val="0"/>
        <extend val="0"/>
        <color indexed="8"/>
      </font>
      <fill>
        <patternFill>
          <bgColor indexed="10"/>
        </patternFill>
      </fill>
    </dxf>
    <dxf>
      <font>
        <b/>
        <i val="0"/>
        <condense val="0"/>
        <extend val="0"/>
        <color indexed="8"/>
      </font>
      <fill>
        <patternFill>
          <bgColor indexed="11"/>
        </patternFill>
      </fill>
    </dxf>
    <dxf>
      <font>
        <b/>
        <i val="0"/>
        <condense val="0"/>
        <extend val="0"/>
        <color indexed="8"/>
      </font>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ill>
        <patternFill>
          <bgColor indexed="11"/>
        </patternFill>
      </fill>
    </dxf>
    <dxf>
      <fill>
        <patternFill>
          <bgColor indexed="10"/>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ont>
        <condense val="0"/>
        <extend val="0"/>
        <color indexed="8"/>
      </font>
      <fill>
        <patternFill>
          <bgColor indexed="10"/>
        </patternFill>
      </fill>
    </dxf>
    <dxf>
      <font>
        <condense val="0"/>
        <extend val="0"/>
        <color indexed="8"/>
      </font>
      <fill>
        <patternFill>
          <bgColor indexed="11"/>
        </patternFill>
      </fill>
    </dxf>
    <dxf>
      <fill>
        <patternFill>
          <bgColor indexed="10"/>
        </patternFill>
      </fill>
    </dxf>
    <dxf>
      <fill>
        <patternFill>
          <bgColor indexed="11"/>
        </patternFill>
      </fill>
    </dxf>
    <dxf>
      <fill>
        <patternFill>
          <bgColor indexed="10"/>
        </patternFill>
      </fill>
    </dxf>
    <dxf>
      <font>
        <condense val="0"/>
        <extend val="0"/>
        <color indexed="8"/>
      </font>
      <fill>
        <patternFill>
          <bgColor indexed="10"/>
        </patternFill>
      </fill>
    </dxf>
    <dxf>
      <font>
        <condense val="0"/>
        <extend val="0"/>
        <color indexed="8"/>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oneCellAnchor>
    <xdr:from>
      <xdr:col>3</xdr:col>
      <xdr:colOff>462643</xdr:colOff>
      <xdr:row>14</xdr:row>
      <xdr:rowOff>108857</xdr:rowOff>
    </xdr:from>
    <xdr:ext cx="184731" cy="264560"/>
    <xdr:sp macro="" textlink="">
      <xdr:nvSpPr>
        <xdr:cNvPr id="6" name="CasellaDiTesto 5"/>
        <xdr:cNvSpPr txBox="1"/>
      </xdr:nvSpPr>
      <xdr:spPr>
        <a:xfrm>
          <a:off x="2639786" y="3469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PT"/>
        </a:p>
      </xdr:txBody>
    </xdr:sp>
    <xdr:clientData/>
  </xdr:oneCellAnchor>
  <xdr:twoCellAnchor>
    <xdr:from>
      <xdr:col>3</xdr:col>
      <xdr:colOff>381000</xdr:colOff>
      <xdr:row>20</xdr:row>
      <xdr:rowOff>40821</xdr:rowOff>
    </xdr:from>
    <xdr:to>
      <xdr:col>4</xdr:col>
      <xdr:colOff>442701</xdr:colOff>
      <xdr:row>23</xdr:row>
      <xdr:rowOff>40822</xdr:rowOff>
    </xdr:to>
    <xdr:sp macro="" textlink="">
      <xdr:nvSpPr>
        <xdr:cNvPr id="9" name="CasellaDiTesto 8"/>
        <xdr:cNvSpPr txBox="1"/>
      </xdr:nvSpPr>
      <xdr:spPr>
        <a:xfrm>
          <a:off x="2558143" y="6408964"/>
          <a:ext cx="748393" cy="1279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t-PT"/>
        </a:p>
      </xdr:txBody>
    </xdr:sp>
    <xdr:clientData/>
  </xdr:twoCellAnchor>
  <xdr:twoCellAnchor editAs="oneCell">
    <xdr:from>
      <xdr:col>0</xdr:col>
      <xdr:colOff>152400</xdr:colOff>
      <xdr:row>30</xdr:row>
      <xdr:rowOff>419100</xdr:rowOff>
    </xdr:from>
    <xdr:to>
      <xdr:col>1</xdr:col>
      <xdr:colOff>857250</xdr:colOff>
      <xdr:row>31</xdr:row>
      <xdr:rowOff>717550</xdr:rowOff>
    </xdr:to>
    <xdr:pic>
      <xdr:nvPicPr>
        <xdr:cNvPr id="1029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1315700"/>
          <a:ext cx="9715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11</xdr:col>
      <xdr:colOff>349250</xdr:colOff>
      <xdr:row>0</xdr:row>
      <xdr:rowOff>101600</xdr:rowOff>
    </xdr:from>
    <xdr:to>
      <xdr:col>12</xdr:col>
      <xdr:colOff>609600</xdr:colOff>
      <xdr:row>3</xdr:row>
      <xdr:rowOff>203200</xdr:rowOff>
    </xdr:to>
    <xdr:pic>
      <xdr:nvPicPr>
        <xdr:cNvPr id="10295" name="Immagine 2" descr="Logo euphoro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7350" y="101600"/>
          <a:ext cx="10604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69850</xdr:colOff>
          <xdr:row>0</xdr:row>
          <xdr:rowOff>57150</xdr:rowOff>
        </xdr:from>
        <xdr:to>
          <xdr:col>1</xdr:col>
          <xdr:colOff>603250</xdr:colOff>
          <xdr:row>3</xdr:row>
          <xdr:rowOff>190500</xdr:rowOff>
        </xdr:to>
        <xdr:sp macro="" textlink="">
          <xdr:nvSpPr>
            <xdr:cNvPr id="10247" name="Object 7" hidden="1">
              <a:extLst>
                <a:ext uri="{63B3BB69-23CF-44E3-9099-C40C66FF867C}">
                  <a14:compatExt spid="_x0000_s102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13</xdr:row>
          <xdr:rowOff>63500</xdr:rowOff>
        </xdr:from>
        <xdr:to>
          <xdr:col>11</xdr:col>
          <xdr:colOff>501650</xdr:colOff>
          <xdr:row>30</xdr:row>
          <xdr:rowOff>355600</xdr:rowOff>
        </xdr:to>
        <xdr:sp macro="" textlink="">
          <xdr:nvSpPr>
            <xdr:cNvPr id="10255" name="Object 15" hidden="1">
              <a:extLst>
                <a:ext uri="{63B3BB69-23CF-44E3-9099-C40C66FF867C}">
                  <a14:compatExt spid="_x0000_s102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349250</xdr:colOff>
      <xdr:row>0</xdr:row>
      <xdr:rowOff>127000</xdr:rowOff>
    </xdr:from>
    <xdr:to>
      <xdr:col>18</xdr:col>
      <xdr:colOff>101600</xdr:colOff>
      <xdr:row>2</xdr:row>
      <xdr:rowOff>292100</xdr:rowOff>
    </xdr:to>
    <xdr:pic>
      <xdr:nvPicPr>
        <xdr:cNvPr id="1188"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6700" y="127000"/>
          <a:ext cx="876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120650</xdr:colOff>
          <xdr:row>40</xdr:row>
          <xdr:rowOff>120650</xdr:rowOff>
        </xdr:from>
        <xdr:to>
          <xdr:col>2</xdr:col>
          <xdr:colOff>520700</xdr:colOff>
          <xdr:row>42</xdr:row>
          <xdr:rowOff>82550</xdr:rowOff>
        </xdr:to>
        <xdr:sp macro="" textlink="">
          <xdr:nvSpPr>
            <xdr:cNvPr id="1099" name="SpinButton1" hidden="1">
              <a:extLst>
                <a:ext uri="{63B3BB69-23CF-44E3-9099-C40C66FF867C}">
                  <a14:compatExt spid="_x0000_s1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39</xdr:row>
          <xdr:rowOff>19050</xdr:rowOff>
        </xdr:from>
        <xdr:to>
          <xdr:col>15</xdr:col>
          <xdr:colOff>342900</xdr:colOff>
          <xdr:row>40</xdr:row>
          <xdr:rowOff>228600</xdr:rowOff>
        </xdr:to>
        <xdr:sp macro="" textlink="">
          <xdr:nvSpPr>
            <xdr:cNvPr id="1103" name="Button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pt-PT" sz="1200" b="0" i="0" u="none" strike="noStrike" baseline="0">
                  <a:solidFill>
                    <a:srgbClr val="000000"/>
                  </a:solidFill>
                  <a:latin typeface="Arial"/>
                  <a:cs typeface="Arial"/>
                </a:rPr>
                <a:t>Restore  calculated EC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984250</xdr:colOff>
          <xdr:row>5</xdr:row>
          <xdr:rowOff>44450</xdr:rowOff>
        </xdr:from>
        <xdr:to>
          <xdr:col>3</xdr:col>
          <xdr:colOff>514350</xdr:colOff>
          <xdr:row>9</xdr:row>
          <xdr:rowOff>57150</xdr:rowOff>
        </xdr:to>
        <xdr:sp macro="" textlink="">
          <xdr:nvSpPr>
            <xdr:cNvPr id="1138" name="Button 114" hidden="1">
              <a:extLst>
                <a:ext uri="{63B3BB69-23CF-44E3-9099-C40C66FF867C}">
                  <a14:compatExt spid="_x0000_s1138"/>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pt-PT" sz="1200" b="0" i="0" u="none" strike="noStrike" baseline="0">
                  <a:solidFill>
                    <a:srgbClr val="000000"/>
                  </a:solidFill>
                  <a:latin typeface="Arial"/>
                  <a:cs typeface="Arial"/>
                </a:rPr>
                <a:t>Adjust window to your monitor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514350</xdr:colOff>
          <xdr:row>2</xdr:row>
          <xdr:rowOff>304800</xdr:rowOff>
        </xdr:to>
        <xdr:sp macro="" textlink="">
          <xdr:nvSpPr>
            <xdr:cNvPr id="1175" name="Object 151" hidden="1">
              <a:extLst>
                <a:ext uri="{63B3BB69-23CF-44E3-9099-C40C66FF867C}">
                  <a14:compatExt spid="_x0000_s11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342900</xdr:colOff>
      <xdr:row>0</xdr:row>
      <xdr:rowOff>69850</xdr:rowOff>
    </xdr:from>
    <xdr:to>
      <xdr:col>22</xdr:col>
      <xdr:colOff>533400</xdr:colOff>
      <xdr:row>1</xdr:row>
      <xdr:rowOff>152400</xdr:rowOff>
    </xdr:to>
    <xdr:pic>
      <xdr:nvPicPr>
        <xdr:cNvPr id="7216"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39900" y="69850"/>
          <a:ext cx="87630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63500</xdr:colOff>
          <xdr:row>0</xdr:row>
          <xdr:rowOff>69850</xdr:rowOff>
        </xdr:from>
        <xdr:to>
          <xdr:col>1</xdr:col>
          <xdr:colOff>374650</xdr:colOff>
          <xdr:row>1</xdr:row>
          <xdr:rowOff>209550</xdr:rowOff>
        </xdr:to>
        <xdr:sp macro="" textlink="">
          <xdr:nvSpPr>
            <xdr:cNvPr id="7190" name="Object 22" hidden="1">
              <a:extLst>
                <a:ext uri="{63B3BB69-23CF-44E3-9099-C40C66FF867C}">
                  <a14:compatExt spid="_x0000_s7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0</xdr:colOff>
      <xdr:row>0</xdr:row>
      <xdr:rowOff>69850</xdr:rowOff>
    </xdr:from>
    <xdr:to>
      <xdr:col>20</xdr:col>
      <xdr:colOff>285750</xdr:colOff>
      <xdr:row>2</xdr:row>
      <xdr:rowOff>25400</xdr:rowOff>
    </xdr:to>
    <xdr:pic>
      <xdr:nvPicPr>
        <xdr:cNvPr id="4268"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 y="69850"/>
          <a:ext cx="81915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488950</xdr:colOff>
          <xdr:row>3</xdr:row>
          <xdr:rowOff>266700</xdr:rowOff>
        </xdr:from>
        <xdr:to>
          <xdr:col>1</xdr:col>
          <xdr:colOff>285750</xdr:colOff>
          <xdr:row>5</xdr:row>
          <xdr:rowOff>222250</xdr:rowOff>
        </xdr:to>
        <xdr:sp macro="" textlink="">
          <xdr:nvSpPr>
            <xdr:cNvPr id="4190" name="Button 94" hidden="1">
              <a:extLst>
                <a:ext uri="{63B3BB69-23CF-44E3-9099-C40C66FF867C}">
                  <a14:compatExt spid="_x0000_s4190"/>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pt-PT" sz="1200" b="0" i="0" u="none" strike="noStrike" baseline="0">
                  <a:solidFill>
                    <a:srgbClr val="000000"/>
                  </a:solidFill>
                  <a:latin typeface="Arial"/>
                  <a:cs typeface="Arial"/>
                </a:rPr>
                <a:t>Alphabetical order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0</xdr:row>
          <xdr:rowOff>44450</xdr:rowOff>
        </xdr:from>
        <xdr:to>
          <xdr:col>0</xdr:col>
          <xdr:colOff>781050</xdr:colOff>
          <xdr:row>2</xdr:row>
          <xdr:rowOff>95250</xdr:rowOff>
        </xdr:to>
        <xdr:sp macro="" textlink="">
          <xdr:nvSpPr>
            <xdr:cNvPr id="4258" name="Object 162" hidden="1">
              <a:extLst>
                <a:ext uri="{63B3BB69-23CF-44E3-9099-C40C66FF867C}">
                  <a14:compatExt spid="_x0000_s42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19</xdr:col>
      <xdr:colOff>781050</xdr:colOff>
      <xdr:row>0</xdr:row>
      <xdr:rowOff>76200</xdr:rowOff>
    </xdr:from>
    <xdr:to>
      <xdr:col>20</xdr:col>
      <xdr:colOff>774700</xdr:colOff>
      <xdr:row>0</xdr:row>
      <xdr:rowOff>742950</xdr:rowOff>
    </xdr:to>
    <xdr:pic>
      <xdr:nvPicPr>
        <xdr:cNvPr id="2116"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62300" y="76200"/>
          <a:ext cx="876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19050</xdr:colOff>
          <xdr:row>1</xdr:row>
          <xdr:rowOff>114300</xdr:rowOff>
        </xdr:from>
        <xdr:to>
          <xdr:col>2</xdr:col>
          <xdr:colOff>127000</xdr:colOff>
          <xdr:row>5</xdr:row>
          <xdr:rowOff>228600</xdr:rowOff>
        </xdr:to>
        <xdr:sp macro="" textlink="">
          <xdr:nvSpPr>
            <xdr:cNvPr id="2071" name="Button 23" hidden="1">
              <a:extLst>
                <a:ext uri="{63B3BB69-23CF-44E3-9099-C40C66FF867C}">
                  <a14:compatExt spid="_x0000_s2071"/>
                </a:ext>
              </a:extLst>
            </xdr:cNvPr>
            <xdr:cNvSpPr/>
          </xdr:nvSpPr>
          <xdr:spPr bwMode="auto">
            <a:xfrm>
              <a:off x="0" y="0"/>
              <a:ext cx="0" cy="0"/>
            </a:xfrm>
            <a:prstGeom prst="rect">
              <a:avLst/>
            </a:prstGeom>
            <a:noFill/>
            <a:ln w="9525">
              <a:miter lim="800000"/>
              <a:headEnd/>
              <a:tailEnd/>
            </a:ln>
          </xdr:spPr>
          <xdr:txBody>
            <a:bodyPr vertOverflow="clip" wrap="square" lIns="45720" tIns="50292" rIns="45720" bIns="50292" anchor="ctr" upright="1"/>
            <a:lstStyle/>
            <a:p>
              <a:pPr algn="ctr" rtl="0">
                <a:defRPr sz="1000"/>
              </a:pPr>
              <a:r>
                <a:rPr lang="pt-PT" sz="1200" b="0" i="0" u="none" strike="noStrike" baseline="0">
                  <a:solidFill>
                    <a:srgbClr val="000000"/>
                  </a:solidFill>
                  <a:latin typeface="Comic Sans MS"/>
                </a:rPr>
                <a:t>CALCOLO AUTOMATICO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xdr:row>
          <xdr:rowOff>133350</xdr:rowOff>
        </xdr:from>
        <xdr:to>
          <xdr:col>6</xdr:col>
          <xdr:colOff>615950</xdr:colOff>
          <xdr:row>6</xdr:row>
          <xdr:rowOff>0</xdr:rowOff>
        </xdr:to>
        <xdr:sp macro="" textlink="">
          <xdr:nvSpPr>
            <xdr:cNvPr id="2072" name="Button 24" hidden="1">
              <a:extLst>
                <a:ext uri="{63B3BB69-23CF-44E3-9099-C40C66FF867C}">
                  <a14:compatExt spid="_x0000_s2072"/>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pt-PT" sz="1400" b="0" i="0" u="none" strike="noStrike" baseline="0">
                  <a:solidFill>
                    <a:srgbClr val="000000"/>
                  </a:solidFill>
                  <a:latin typeface="Arial"/>
                  <a:cs typeface="Arial"/>
                </a:rPr>
                <a:t>NEW CALCULATION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6350</xdr:colOff>
          <xdr:row>1</xdr:row>
          <xdr:rowOff>107950</xdr:rowOff>
        </xdr:from>
        <xdr:to>
          <xdr:col>2</xdr:col>
          <xdr:colOff>114300</xdr:colOff>
          <xdr:row>5</xdr:row>
          <xdr:rowOff>222250</xdr:rowOff>
        </xdr:to>
        <xdr:sp macro="" textlink="">
          <xdr:nvSpPr>
            <xdr:cNvPr id="2093" name="Button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pt-PT" sz="1400" b="0" i="0" u="none" strike="noStrike" baseline="0">
                  <a:solidFill>
                    <a:srgbClr val="000000"/>
                  </a:solidFill>
                  <a:latin typeface="Arial"/>
                  <a:cs typeface="Arial"/>
                </a:rPr>
                <a:t>CALCULATE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0</xdr:row>
          <xdr:rowOff>82550</xdr:rowOff>
        </xdr:from>
        <xdr:to>
          <xdr:col>1</xdr:col>
          <xdr:colOff>438150</xdr:colOff>
          <xdr:row>1</xdr:row>
          <xdr:rowOff>12700</xdr:rowOff>
        </xdr:to>
        <xdr:sp macro="" textlink="">
          <xdr:nvSpPr>
            <xdr:cNvPr id="2103" name="Object 55" hidden="1">
              <a:extLst>
                <a:ext uri="{63B3BB69-23CF-44E3-9099-C40C66FF867C}">
                  <a14:compatExt spid="_x0000_s21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16</xdr:col>
      <xdr:colOff>660400</xdr:colOff>
      <xdr:row>0</xdr:row>
      <xdr:rowOff>44450</xdr:rowOff>
    </xdr:from>
    <xdr:to>
      <xdr:col>18</xdr:col>
      <xdr:colOff>31750</xdr:colOff>
      <xdr:row>1</xdr:row>
      <xdr:rowOff>387350</xdr:rowOff>
    </xdr:to>
    <xdr:pic>
      <xdr:nvPicPr>
        <xdr:cNvPr id="5134"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82700" y="44450"/>
          <a:ext cx="84455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165100</xdr:colOff>
          <xdr:row>8</xdr:row>
          <xdr:rowOff>95250</xdr:rowOff>
        </xdr:from>
        <xdr:to>
          <xdr:col>6</xdr:col>
          <xdr:colOff>133350</xdr:colOff>
          <xdr:row>11</xdr:row>
          <xdr:rowOff>139700</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pt-PT" sz="1300" b="0" i="0" u="none" strike="noStrike" baseline="0">
                  <a:solidFill>
                    <a:srgbClr val="000000"/>
                  </a:solidFill>
                  <a:latin typeface="Arial"/>
                  <a:cs typeface="Arial"/>
                </a:rPr>
                <a:t>Apply new dilution ratio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6350</xdr:rowOff>
        </xdr:from>
        <xdr:to>
          <xdr:col>1</xdr:col>
          <xdr:colOff>488950</xdr:colOff>
          <xdr:row>1</xdr:row>
          <xdr:rowOff>419100</xdr:rowOff>
        </xdr:to>
        <xdr:sp macro="" textlink="">
          <xdr:nvSpPr>
            <xdr:cNvPr id="5124" name="Object 4" hidden="1">
              <a:extLst>
                <a:ext uri="{63B3BB69-23CF-44E3-9099-C40C66FF867C}">
                  <a14:compatExt spid="_x0000_s51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730250</xdr:colOff>
      <xdr:row>0</xdr:row>
      <xdr:rowOff>82550</xdr:rowOff>
    </xdr:from>
    <xdr:to>
      <xdr:col>6</xdr:col>
      <xdr:colOff>304800</xdr:colOff>
      <xdr:row>3</xdr:row>
      <xdr:rowOff>19050</xdr:rowOff>
    </xdr:to>
    <xdr:pic>
      <xdr:nvPicPr>
        <xdr:cNvPr id="8275"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82550"/>
          <a:ext cx="800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685800</xdr:colOff>
          <xdr:row>3</xdr:row>
          <xdr:rowOff>57150</xdr:rowOff>
        </xdr:to>
        <xdr:sp macro="" textlink="">
          <xdr:nvSpPr>
            <xdr:cNvPr id="8263" name="Object 71" hidden="1">
              <a:extLst>
                <a:ext uri="{63B3BB69-23CF-44E3-9099-C40C66FF867C}">
                  <a14:compatExt spid="_x0000_s82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266700</xdr:colOff>
      <xdr:row>0</xdr:row>
      <xdr:rowOff>57150</xdr:rowOff>
    </xdr:from>
    <xdr:to>
      <xdr:col>7</xdr:col>
      <xdr:colOff>514350</xdr:colOff>
      <xdr:row>3</xdr:row>
      <xdr:rowOff>133350</xdr:rowOff>
    </xdr:to>
    <xdr:pic>
      <xdr:nvPicPr>
        <xdr:cNvPr id="9228"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9300" y="57150"/>
          <a:ext cx="93345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520700</xdr:colOff>
          <xdr:row>19</xdr:row>
          <xdr:rowOff>6350</xdr:rowOff>
        </xdr:from>
        <xdr:to>
          <xdr:col>4</xdr:col>
          <xdr:colOff>400050</xdr:colOff>
          <xdr:row>22</xdr:row>
          <xdr:rowOff>82550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pt-PT" sz="1200" b="0" i="0" u="none" strike="noStrike" baseline="0">
                  <a:solidFill>
                    <a:srgbClr val="000000"/>
                  </a:solidFill>
                  <a:latin typeface="Arial"/>
                  <a:cs typeface="Arial"/>
                </a:rPr>
                <a:t>Export converted values to INPUT (irrigation water composition)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76200</xdr:rowOff>
        </xdr:from>
        <xdr:to>
          <xdr:col>0</xdr:col>
          <xdr:colOff>685800</xdr:colOff>
          <xdr:row>3</xdr:row>
          <xdr:rowOff>165100</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11</xdr:col>
      <xdr:colOff>450850</xdr:colOff>
      <xdr:row>0</xdr:row>
      <xdr:rowOff>0</xdr:rowOff>
    </xdr:from>
    <xdr:to>
      <xdr:col>13</xdr:col>
      <xdr:colOff>146050</xdr:colOff>
      <xdr:row>3</xdr:row>
      <xdr:rowOff>0</xdr:rowOff>
    </xdr:to>
    <xdr:pic>
      <xdr:nvPicPr>
        <xdr:cNvPr id="18444" name="Immagine 2" descr="Logo euphoro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7950" y="0"/>
          <a:ext cx="101600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13</xdr:row>
      <xdr:rowOff>0</xdr:rowOff>
    </xdr:from>
    <xdr:to>
      <xdr:col>1</xdr:col>
      <xdr:colOff>400050</xdr:colOff>
      <xdr:row>13</xdr:row>
      <xdr:rowOff>628650</xdr:rowOff>
    </xdr:to>
    <xdr:pic>
      <xdr:nvPicPr>
        <xdr:cNvPr id="1844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950" y="3981450"/>
          <a:ext cx="952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63500</xdr:colOff>
          <xdr:row>0</xdr:row>
          <xdr:rowOff>57150</xdr:rowOff>
        </xdr:from>
        <xdr:to>
          <xdr:col>1</xdr:col>
          <xdr:colOff>95250</xdr:colOff>
          <xdr:row>3</xdr:row>
          <xdr:rowOff>19050</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ables/table1.xml><?xml version="1.0" encoding="utf-8"?>
<table xmlns="http://schemas.openxmlformats.org/spreadsheetml/2006/main" id="1" name="Elenco1" displayName="Elenco1" ref="BA8:BQ58" totalsRowShown="0" headerRowDxfId="43" dataDxfId="42" headerRowBorderDxfId="41">
  <autoFilter ref="BA8:BQ58"/>
  <tableColumns count="17">
    <tableColumn id="1" name="Coltura Stadio: Stadio" dataDxfId="60">
      <calculatedColumnFormula>A9&amp;": Stage: "&amp;B9</calculatedColumnFormula>
    </tableColumn>
    <tableColumn id="2" name="EC (mS/cm)" dataDxfId="59">
      <calculatedColumnFormula>C9</calculatedColumnFormula>
    </tableColumn>
    <tableColumn id="3" name="N-NO3" dataDxfId="58">
      <calculatedColumnFormula>D9</calculatedColumnFormula>
    </tableColumn>
    <tableColumn id="4" name="N-NH4" dataDxfId="57">
      <calculatedColumnFormula>E9</calculatedColumnFormula>
    </tableColumn>
    <tableColumn id="5" name="P-PO4" dataDxfId="56">
      <calculatedColumnFormula>F9</calculatedColumnFormula>
    </tableColumn>
    <tableColumn id="6" name="K" dataDxfId="55">
      <calculatedColumnFormula>G9</calculatedColumnFormula>
    </tableColumn>
    <tableColumn id="7" name="Ca" dataDxfId="54">
      <calculatedColumnFormula>H9</calculatedColumnFormula>
    </tableColumn>
    <tableColumn id="8" name="Mg" dataDxfId="53">
      <calculatedColumnFormula>I9</calculatedColumnFormula>
    </tableColumn>
    <tableColumn id="9" name="Na" dataDxfId="52">
      <calculatedColumnFormula>J9</calculatedColumnFormula>
    </tableColumn>
    <tableColumn id="10" name="S-SO4" dataDxfId="51">
      <calculatedColumnFormula>K9</calculatedColumnFormula>
    </tableColumn>
    <tableColumn id="11" name="Cl" dataDxfId="50">
      <calculatedColumnFormula>L9</calculatedColumnFormula>
    </tableColumn>
    <tableColumn id="12" name="Fe" dataDxfId="49">
      <calculatedColumnFormula>M9</calculatedColumnFormula>
    </tableColumn>
    <tableColumn id="13" name="B" dataDxfId="48">
      <calculatedColumnFormula>N9</calculatedColumnFormula>
    </tableColumn>
    <tableColumn id="14" name="Cu" dataDxfId="47">
      <calculatedColumnFormula>O9</calculatedColumnFormula>
    </tableColumn>
    <tableColumn id="15" name="Zn" dataDxfId="46">
      <calculatedColumnFormula>P9</calculatedColumnFormula>
    </tableColumn>
    <tableColumn id="16" name="Mn" dataDxfId="45">
      <calculatedColumnFormula>Q9</calculatedColumnFormula>
    </tableColumn>
    <tableColumn id="17" name="Mo" dataDxfId="44">
      <calculatedColumnFormula>R9</calculatedColumnFormula>
    </tableColumn>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1.xml"/><Relationship Id="rId5" Type="http://schemas.openxmlformats.org/officeDocument/2006/relationships/image" Target="../media/image1.png"/><Relationship Id="rId10" Type="http://schemas.openxmlformats.org/officeDocument/2006/relationships/comments" Target="../comments1.xml"/><Relationship Id="rId4" Type="http://schemas.openxmlformats.org/officeDocument/2006/relationships/oleObject" Target="../embeddings/oleObject2.bin"/><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5.vml"/><Relationship Id="rId7" Type="http://schemas.openxmlformats.org/officeDocument/2006/relationships/ctrlProp" Target="../ctrlProps/ctrlProp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xml"/><Relationship Id="rId5" Type="http://schemas.openxmlformats.org/officeDocument/2006/relationships/image" Target="../media/image1.png"/><Relationship Id="rId4" Type="http://schemas.openxmlformats.org/officeDocument/2006/relationships/oleObject" Target="../embeddings/oleObject5.bin"/><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image" Target="../media/image1.png"/><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image" Target="../media/image1.png"/><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image" Target="../media/image1.png"/><Relationship Id="rId4" Type="http://schemas.openxmlformats.org/officeDocument/2006/relationships/oleObject" Target="../embeddings/oleObject8.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9.vml"/><Relationship Id="rId1" Type="http://schemas.openxmlformats.org/officeDocument/2006/relationships/drawing" Target="../drawings/drawing9.xml"/><Relationship Id="rId4" Type="http://schemas.openxmlformats.org/officeDocument/2006/relationships/image" Target="../media/image1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6">
    <pageSetUpPr fitToPage="1"/>
  </sheetPr>
  <dimension ref="A2:P73"/>
  <sheetViews>
    <sheetView showRowColHeaders="0" view="pageBreakPreview" zoomScale="137" zoomScaleNormal="50" zoomScaleSheetLayoutView="137" workbookViewId="0">
      <pane ySplit="8" topLeftCell="A9" activePane="bottomLeft" state="frozen"/>
      <selection pane="bottomLeft" sqref="A1:L1"/>
    </sheetView>
  </sheetViews>
  <sheetFormatPr defaultColWidth="9" defaultRowHeight="15.5"/>
  <cols>
    <col min="1" max="1" width="3.5" style="13" customWidth="1"/>
    <col min="2" max="2" width="16" style="130" customWidth="1"/>
    <col min="3" max="11" width="9" style="13"/>
    <col min="12" max="12" width="10.5" style="13" customWidth="1"/>
    <col min="13" max="16" width="9" style="13"/>
    <col min="17" max="16384" width="9" style="16"/>
  </cols>
  <sheetData>
    <row r="2" spans="1:16" ht="24" customHeight="1">
      <c r="C2" s="448" t="s">
        <v>347</v>
      </c>
      <c r="D2" s="448"/>
      <c r="F2" s="131"/>
      <c r="G2" s="131"/>
      <c r="H2" s="131"/>
      <c r="I2" s="131"/>
      <c r="J2" s="131"/>
      <c r="K2" s="131"/>
      <c r="L2" s="131"/>
      <c r="M2" s="131"/>
      <c r="N2" s="131"/>
      <c r="O2" s="131"/>
      <c r="P2" s="131"/>
    </row>
    <row r="3" spans="1:16" ht="15.75" customHeight="1">
      <c r="A3" s="131"/>
      <c r="B3" s="131"/>
      <c r="C3" s="18"/>
      <c r="D3" s="18"/>
      <c r="E3" s="18"/>
      <c r="F3" s="18"/>
      <c r="G3" s="19"/>
      <c r="H3" s="18"/>
      <c r="I3" s="18"/>
      <c r="J3" s="18"/>
      <c r="K3" s="18"/>
      <c r="L3" s="131"/>
      <c r="M3" s="131"/>
      <c r="N3" s="131"/>
      <c r="O3" s="131"/>
      <c r="P3" s="131"/>
    </row>
    <row r="4" spans="1:16" ht="22" customHeight="1">
      <c r="A4" s="131"/>
      <c r="B4" s="131"/>
      <c r="C4" s="466" t="s">
        <v>185</v>
      </c>
      <c r="D4" s="467"/>
      <c r="E4" s="467"/>
      <c r="F4" s="468"/>
      <c r="G4" s="19"/>
      <c r="H4" s="466" t="s">
        <v>171</v>
      </c>
      <c r="I4" s="467"/>
      <c r="J4" s="467"/>
      <c r="K4" s="468"/>
    </row>
    <row r="5" spans="1:16" ht="18">
      <c r="B5" s="132"/>
      <c r="C5" s="18"/>
      <c r="D5" s="18"/>
      <c r="E5" s="18"/>
      <c r="F5" s="18"/>
      <c r="G5" s="19"/>
      <c r="H5" s="18"/>
      <c r="I5" s="18"/>
      <c r="J5" s="18"/>
      <c r="K5" s="18"/>
    </row>
    <row r="6" spans="1:16" ht="22" customHeight="1">
      <c r="B6" s="133"/>
      <c r="C6" s="466" t="s">
        <v>181</v>
      </c>
      <c r="D6" s="467"/>
      <c r="E6" s="467"/>
      <c r="F6" s="468"/>
      <c r="G6" s="138"/>
      <c r="H6" s="466" t="s">
        <v>182</v>
      </c>
      <c r="I6" s="467"/>
      <c r="J6" s="467"/>
      <c r="K6" s="468"/>
    </row>
    <row r="7" spans="1:16">
      <c r="B7" s="133"/>
      <c r="C7" s="18"/>
      <c r="D7" s="18"/>
      <c r="E7" s="18"/>
      <c r="F7" s="18"/>
      <c r="G7" s="19"/>
      <c r="H7" s="18"/>
      <c r="I7" s="18"/>
      <c r="J7" s="18"/>
      <c r="K7" s="18"/>
    </row>
    <row r="8" spans="1:16" ht="22" customHeight="1">
      <c r="B8" s="133"/>
      <c r="C8" s="466" t="s">
        <v>183</v>
      </c>
      <c r="D8" s="467"/>
      <c r="E8" s="467"/>
      <c r="F8" s="468"/>
      <c r="G8" s="19"/>
      <c r="H8" s="466" t="s">
        <v>184</v>
      </c>
      <c r="I8" s="467"/>
      <c r="J8" s="467"/>
      <c r="K8" s="468"/>
    </row>
    <row r="9" spans="1:16">
      <c r="B9" s="133"/>
    </row>
    <row r="10" spans="1:16">
      <c r="B10" s="133"/>
    </row>
    <row r="11" spans="1:16" ht="31.5" customHeight="1">
      <c r="B11" s="470" t="s">
        <v>348</v>
      </c>
      <c r="C11" s="471"/>
      <c r="D11" s="471"/>
      <c r="E11" s="471"/>
      <c r="F11" s="471"/>
      <c r="G11" s="471"/>
      <c r="H11" s="471"/>
      <c r="I11" s="471"/>
      <c r="J11" s="471"/>
      <c r="K11" s="471"/>
    </row>
    <row r="12" spans="1:16">
      <c r="B12" s="472" t="s">
        <v>349</v>
      </c>
      <c r="C12" s="472"/>
      <c r="D12" s="472"/>
      <c r="E12" s="472"/>
      <c r="F12" s="472"/>
      <c r="G12" s="472"/>
      <c r="H12" s="472"/>
      <c r="I12" s="472"/>
      <c r="J12" s="472"/>
      <c r="K12" s="472"/>
    </row>
    <row r="13" spans="1:16">
      <c r="B13" s="134"/>
      <c r="C13" s="135"/>
      <c r="D13" s="135"/>
      <c r="E13" s="135"/>
      <c r="F13" s="135"/>
      <c r="G13" s="135"/>
      <c r="H13" s="135"/>
      <c r="I13" s="135"/>
      <c r="J13" s="135"/>
      <c r="K13" s="135"/>
    </row>
    <row r="14" spans="1:16">
      <c r="B14" s="136"/>
      <c r="C14" s="135"/>
      <c r="D14" s="135"/>
      <c r="E14" s="135"/>
      <c r="F14" s="135"/>
      <c r="G14" s="135"/>
      <c r="H14" s="135"/>
      <c r="I14" s="135"/>
      <c r="J14" s="135"/>
      <c r="K14" s="135"/>
    </row>
    <row r="15" spans="1:16" ht="66.75" customHeight="1">
      <c r="B15" s="469"/>
      <c r="C15" s="469"/>
      <c r="D15" s="469"/>
      <c r="E15" s="469"/>
      <c r="F15" s="469"/>
      <c r="G15" s="469"/>
      <c r="H15" s="469"/>
      <c r="I15" s="469"/>
      <c r="J15" s="469"/>
      <c r="K15" s="469"/>
    </row>
    <row r="16" spans="1:16" ht="77.25" customHeight="1">
      <c r="B16" s="464"/>
      <c r="C16" s="464"/>
      <c r="D16" s="464"/>
      <c r="E16" s="464"/>
      <c r="F16" s="464"/>
      <c r="G16" s="464"/>
      <c r="H16" s="464"/>
      <c r="I16" s="464"/>
      <c r="J16" s="464"/>
      <c r="K16" s="464"/>
    </row>
    <row r="17" spans="2:12" ht="32.25" customHeight="1">
      <c r="B17" s="464"/>
      <c r="C17" s="464"/>
      <c r="D17" s="464"/>
      <c r="E17" s="464"/>
      <c r="F17" s="464"/>
      <c r="G17" s="464"/>
      <c r="H17" s="464"/>
      <c r="I17" s="464"/>
      <c r="J17" s="464"/>
      <c r="K17" s="464"/>
    </row>
    <row r="18" spans="2:12">
      <c r="B18" s="464"/>
      <c r="C18" s="464"/>
      <c r="D18" s="464"/>
      <c r="E18" s="464"/>
      <c r="F18" s="464"/>
      <c r="G18" s="464"/>
      <c r="H18" s="464"/>
      <c r="I18" s="464"/>
      <c r="J18" s="464"/>
      <c r="K18" s="464"/>
    </row>
    <row r="19" spans="2:12" ht="15.75" customHeight="1">
      <c r="B19" s="136"/>
      <c r="C19" s="135"/>
      <c r="D19" s="135"/>
      <c r="E19" s="135"/>
      <c r="F19" s="135"/>
      <c r="G19" s="135"/>
      <c r="H19" s="135"/>
      <c r="I19" s="135"/>
      <c r="J19" s="135"/>
      <c r="K19" s="135"/>
    </row>
    <row r="20" spans="2:12" ht="30" customHeight="1">
      <c r="B20" s="465"/>
      <c r="C20" s="465"/>
      <c r="D20" s="465"/>
      <c r="E20" s="465"/>
      <c r="F20" s="465"/>
      <c r="G20" s="465"/>
      <c r="H20" s="465"/>
      <c r="I20" s="465"/>
      <c r="J20" s="465"/>
      <c r="K20" s="465"/>
    </row>
    <row r="21" spans="2:12" ht="32.25" customHeight="1">
      <c r="B21" s="464"/>
      <c r="C21" s="464"/>
      <c r="D21" s="464"/>
      <c r="E21" s="464"/>
      <c r="F21" s="464"/>
      <c r="G21" s="464"/>
      <c r="H21" s="464"/>
      <c r="I21" s="464"/>
      <c r="J21" s="464"/>
      <c r="K21" s="464"/>
    </row>
    <row r="22" spans="2:12" ht="33.75" customHeight="1">
      <c r="B22" s="464"/>
      <c r="C22" s="464"/>
      <c r="D22" s="464"/>
      <c r="E22" s="464"/>
      <c r="F22" s="464"/>
      <c r="G22" s="464"/>
      <c r="H22" s="464"/>
      <c r="I22" s="464"/>
      <c r="J22" s="464"/>
      <c r="K22" s="464"/>
    </row>
    <row r="23" spans="2:12" ht="34.5" customHeight="1">
      <c r="B23" s="464"/>
      <c r="C23" s="464"/>
      <c r="D23" s="464"/>
      <c r="E23" s="464"/>
      <c r="F23" s="464"/>
      <c r="G23" s="464"/>
      <c r="H23" s="464"/>
      <c r="I23" s="464"/>
      <c r="J23" s="464"/>
      <c r="K23" s="464"/>
    </row>
    <row r="24" spans="2:12" ht="24" customHeight="1">
      <c r="B24" s="464"/>
      <c r="C24" s="464"/>
      <c r="D24" s="464"/>
      <c r="E24" s="464"/>
      <c r="F24" s="464"/>
      <c r="G24" s="464"/>
      <c r="H24" s="464"/>
      <c r="I24" s="464"/>
      <c r="J24" s="464"/>
      <c r="K24" s="464"/>
    </row>
    <row r="25" spans="2:12">
      <c r="B25" s="473"/>
      <c r="C25" s="473"/>
      <c r="D25" s="473"/>
      <c r="E25" s="473"/>
      <c r="F25" s="473"/>
      <c r="G25" s="473"/>
      <c r="H25" s="473"/>
      <c r="I25" s="473"/>
      <c r="J25" s="473"/>
      <c r="K25" s="473"/>
    </row>
    <row r="26" spans="2:12" ht="23.25" customHeight="1">
      <c r="B26" s="464"/>
      <c r="C26" s="464"/>
      <c r="D26" s="464"/>
      <c r="E26" s="464"/>
      <c r="F26" s="464"/>
      <c r="G26" s="464"/>
      <c r="H26" s="464"/>
      <c r="I26" s="464"/>
      <c r="J26" s="464"/>
      <c r="K26" s="464"/>
    </row>
    <row r="27" spans="2:12" ht="36" customHeight="1">
      <c r="B27" s="464"/>
      <c r="C27" s="464"/>
      <c r="D27" s="464"/>
      <c r="E27" s="464"/>
      <c r="F27" s="464"/>
      <c r="G27" s="464"/>
      <c r="H27" s="464"/>
      <c r="I27" s="464"/>
      <c r="J27" s="464"/>
      <c r="K27" s="464"/>
    </row>
    <row r="28" spans="2:12" ht="21.75" customHeight="1">
      <c r="B28" s="465"/>
      <c r="C28" s="465"/>
      <c r="D28" s="465"/>
      <c r="E28" s="465"/>
      <c r="F28" s="465"/>
      <c r="G28" s="465"/>
      <c r="H28" s="465"/>
      <c r="I28" s="465"/>
      <c r="J28" s="465"/>
      <c r="K28" s="465"/>
    </row>
    <row r="29" spans="2:12" ht="66" customHeight="1">
      <c r="B29" s="474"/>
      <c r="C29" s="469"/>
      <c r="D29" s="469"/>
      <c r="E29" s="469"/>
      <c r="F29" s="469"/>
      <c r="G29" s="469"/>
      <c r="H29" s="469"/>
      <c r="I29" s="469"/>
      <c r="J29" s="469"/>
      <c r="K29" s="469"/>
    </row>
    <row r="30" spans="2:12" ht="72" customHeight="1">
      <c r="B30" s="477"/>
      <c r="C30" s="464"/>
      <c r="D30" s="464"/>
      <c r="E30" s="464"/>
      <c r="F30" s="464"/>
      <c r="G30" s="464"/>
      <c r="H30" s="464"/>
      <c r="I30" s="464"/>
      <c r="J30" s="464"/>
      <c r="K30" s="464"/>
    </row>
    <row r="31" spans="2:12" ht="35.25" customHeight="1">
      <c r="B31" s="476"/>
      <c r="C31" s="476"/>
      <c r="D31" s="476"/>
      <c r="E31" s="476"/>
      <c r="F31" s="476"/>
      <c r="G31" s="476"/>
      <c r="H31" s="476"/>
      <c r="I31" s="476"/>
      <c r="J31" s="476"/>
      <c r="K31" s="476"/>
    </row>
    <row r="32" spans="2:12" ht="65.25" customHeight="1">
      <c r="B32" s="449"/>
      <c r="C32" s="478" t="s">
        <v>352</v>
      </c>
      <c r="D32" s="478"/>
      <c r="E32" s="478"/>
      <c r="F32" s="478"/>
      <c r="G32" s="478"/>
      <c r="H32" s="478"/>
      <c r="I32" s="478"/>
      <c r="J32" s="478"/>
      <c r="K32" s="478"/>
      <c r="L32" s="478"/>
    </row>
    <row r="33" spans="2:11" ht="33.75" customHeight="1">
      <c r="B33" s="475"/>
      <c r="C33" s="476"/>
      <c r="D33" s="476"/>
      <c r="E33" s="476"/>
      <c r="F33" s="476"/>
      <c r="G33" s="476"/>
      <c r="H33" s="476"/>
      <c r="I33" s="476"/>
      <c r="J33" s="476"/>
      <c r="K33" s="476"/>
    </row>
    <row r="34" spans="2:11" ht="49.5" customHeight="1">
      <c r="B34" s="475"/>
      <c r="C34" s="476"/>
      <c r="D34" s="476"/>
      <c r="E34" s="476"/>
      <c r="F34" s="476"/>
      <c r="G34" s="476"/>
      <c r="H34" s="476"/>
      <c r="I34" s="476"/>
      <c r="J34" s="476"/>
      <c r="K34" s="476"/>
    </row>
    <row r="35" spans="2:11" ht="102" customHeight="1">
      <c r="B35" s="480"/>
      <c r="C35" s="481"/>
      <c r="D35" s="481"/>
      <c r="E35" s="481"/>
      <c r="F35" s="481"/>
      <c r="G35" s="481"/>
      <c r="H35" s="481"/>
      <c r="I35" s="481"/>
      <c r="J35" s="481"/>
      <c r="K35" s="481"/>
    </row>
    <row r="36" spans="2:11" ht="172.5" customHeight="1">
      <c r="B36" s="479"/>
      <c r="C36" s="479"/>
      <c r="D36" s="479"/>
      <c r="E36" s="479"/>
      <c r="F36" s="479"/>
      <c r="G36" s="479"/>
      <c r="H36" s="479"/>
      <c r="I36" s="479"/>
      <c r="J36" s="479"/>
      <c r="K36" s="479"/>
    </row>
    <row r="37" spans="2:11" ht="76.5" customHeight="1">
      <c r="B37" s="464"/>
      <c r="C37" s="464"/>
      <c r="D37" s="464"/>
      <c r="E37" s="464"/>
      <c r="F37" s="464"/>
      <c r="G37" s="464"/>
      <c r="H37" s="464"/>
      <c r="I37" s="464"/>
      <c r="J37" s="464"/>
      <c r="K37" s="464"/>
    </row>
    <row r="38" spans="2:11" ht="63.75" customHeight="1">
      <c r="B38" s="479"/>
      <c r="C38" s="479"/>
      <c r="D38" s="479"/>
      <c r="E38" s="479"/>
      <c r="F38" s="479"/>
      <c r="G38" s="479"/>
      <c r="H38" s="479"/>
      <c r="I38" s="479"/>
      <c r="J38" s="479"/>
      <c r="K38" s="479"/>
    </row>
    <row r="39" spans="2:11" ht="78.75" customHeight="1">
      <c r="B39" s="469"/>
      <c r="C39" s="469"/>
      <c r="D39" s="469"/>
      <c r="E39" s="469"/>
      <c r="F39" s="469"/>
      <c r="G39" s="469"/>
      <c r="H39" s="469"/>
      <c r="I39" s="469"/>
      <c r="J39" s="469"/>
      <c r="K39" s="469"/>
    </row>
    <row r="40" spans="2:11" ht="114" customHeight="1">
      <c r="B40" s="479"/>
      <c r="C40" s="479"/>
      <c r="D40" s="479"/>
      <c r="E40" s="479"/>
      <c r="F40" s="479"/>
      <c r="G40" s="479"/>
      <c r="H40" s="479"/>
      <c r="I40" s="479"/>
      <c r="J40" s="479"/>
      <c r="K40" s="479"/>
    </row>
    <row r="41" spans="2:11" ht="108.75" customHeight="1">
      <c r="B41" s="469"/>
      <c r="C41" s="469"/>
      <c r="D41" s="469"/>
      <c r="E41" s="469"/>
      <c r="F41" s="469"/>
      <c r="G41" s="469"/>
      <c r="H41" s="469"/>
      <c r="I41" s="469"/>
      <c r="J41" s="469"/>
      <c r="K41" s="469"/>
    </row>
    <row r="42" spans="2:11" ht="110.25" customHeight="1">
      <c r="B42" s="469"/>
      <c r="C42" s="469"/>
      <c r="D42" s="469"/>
      <c r="E42" s="469"/>
      <c r="F42" s="469"/>
      <c r="G42" s="469"/>
      <c r="H42" s="469"/>
      <c r="I42" s="469"/>
      <c r="J42" s="469"/>
      <c r="K42" s="469"/>
    </row>
    <row r="43" spans="2:11" ht="85.5" customHeight="1">
      <c r="B43" s="482"/>
      <c r="C43" s="479"/>
      <c r="D43" s="479"/>
      <c r="E43" s="479"/>
      <c r="F43" s="479"/>
      <c r="G43" s="479"/>
      <c r="H43" s="479"/>
      <c r="I43" s="479"/>
      <c r="J43" s="479"/>
      <c r="K43" s="479"/>
    </row>
    <row r="44" spans="2:11" ht="92.25" customHeight="1">
      <c r="B44" s="469"/>
      <c r="C44" s="469"/>
      <c r="D44" s="469"/>
      <c r="E44" s="469"/>
      <c r="F44" s="469"/>
      <c r="G44" s="469"/>
      <c r="H44" s="469"/>
      <c r="I44" s="469"/>
      <c r="J44" s="469"/>
      <c r="K44" s="469"/>
    </row>
    <row r="45" spans="2:11" ht="89.25" customHeight="1">
      <c r="B45" s="469"/>
      <c r="C45" s="469"/>
      <c r="D45" s="469"/>
      <c r="E45" s="469"/>
      <c r="F45" s="469"/>
      <c r="G45" s="469"/>
      <c r="H45" s="469"/>
      <c r="I45" s="469"/>
      <c r="J45" s="469"/>
      <c r="K45" s="469"/>
    </row>
    <row r="46" spans="2:11" ht="128.25" customHeight="1">
      <c r="B46" s="469"/>
      <c r="C46" s="469"/>
      <c r="D46" s="469"/>
      <c r="E46" s="469"/>
      <c r="F46" s="469"/>
      <c r="G46" s="469"/>
      <c r="H46" s="469"/>
      <c r="I46" s="469"/>
      <c r="J46" s="469"/>
      <c r="K46" s="469"/>
    </row>
    <row r="47" spans="2:11" ht="96.75" customHeight="1">
      <c r="B47" s="469"/>
      <c r="C47" s="469"/>
      <c r="D47" s="469"/>
      <c r="E47" s="469"/>
      <c r="F47" s="469"/>
      <c r="G47" s="469"/>
      <c r="H47" s="469"/>
      <c r="I47" s="469"/>
      <c r="J47" s="469"/>
      <c r="K47" s="469"/>
    </row>
    <row r="48" spans="2:11" ht="126" customHeight="1">
      <c r="B48" s="479"/>
      <c r="C48" s="479"/>
      <c r="D48" s="479"/>
      <c r="E48" s="479"/>
      <c r="F48" s="479"/>
      <c r="G48" s="479"/>
      <c r="H48" s="479"/>
      <c r="I48" s="479"/>
      <c r="J48" s="479"/>
      <c r="K48" s="479"/>
    </row>
    <row r="49" spans="2:11" ht="126" customHeight="1">
      <c r="B49" s="482"/>
      <c r="C49" s="484"/>
      <c r="D49" s="484"/>
      <c r="E49" s="484"/>
      <c r="F49" s="484"/>
      <c r="G49" s="484"/>
      <c r="H49" s="484"/>
      <c r="I49" s="484"/>
      <c r="J49" s="484"/>
      <c r="K49" s="484"/>
    </row>
    <row r="50" spans="2:11" ht="60.75" customHeight="1">
      <c r="B50" s="469"/>
      <c r="C50" s="469"/>
      <c r="D50" s="469"/>
      <c r="E50" s="469"/>
      <c r="F50" s="469"/>
      <c r="G50" s="469"/>
      <c r="H50" s="469"/>
      <c r="I50" s="469"/>
      <c r="J50" s="469"/>
      <c r="K50" s="469"/>
    </row>
    <row r="51" spans="2:11" ht="122.25" customHeight="1">
      <c r="B51" s="479"/>
      <c r="C51" s="479"/>
      <c r="D51" s="479"/>
      <c r="E51" s="479"/>
      <c r="F51" s="479"/>
      <c r="G51" s="479"/>
      <c r="H51" s="479"/>
      <c r="I51" s="479"/>
      <c r="J51" s="479"/>
      <c r="K51" s="479"/>
    </row>
    <row r="52" spans="2:11" ht="153" customHeight="1">
      <c r="B52" s="479"/>
      <c r="C52" s="479"/>
      <c r="D52" s="479"/>
      <c r="E52" s="479"/>
      <c r="F52" s="479"/>
      <c r="G52" s="479"/>
      <c r="H52" s="479"/>
      <c r="I52" s="479"/>
      <c r="J52" s="479"/>
      <c r="K52" s="479"/>
    </row>
    <row r="53" spans="2:11" ht="140.25" customHeight="1">
      <c r="B53" s="479"/>
      <c r="C53" s="479"/>
      <c r="D53" s="479"/>
      <c r="E53" s="479"/>
      <c r="F53" s="479"/>
      <c r="G53" s="479"/>
      <c r="H53" s="479"/>
      <c r="I53" s="479"/>
      <c r="J53" s="479"/>
      <c r="K53" s="479"/>
    </row>
    <row r="54" spans="2:11" ht="159.75" customHeight="1">
      <c r="B54" s="479"/>
      <c r="C54" s="479"/>
      <c r="D54" s="479"/>
      <c r="E54" s="479"/>
      <c r="F54" s="479"/>
      <c r="G54" s="479"/>
      <c r="H54" s="479"/>
      <c r="I54" s="479"/>
      <c r="J54" s="479"/>
      <c r="K54" s="479"/>
    </row>
    <row r="55" spans="2:11" ht="45.75" customHeight="1">
      <c r="B55" s="469"/>
      <c r="C55" s="469"/>
      <c r="D55" s="469"/>
      <c r="E55" s="469"/>
      <c r="F55" s="469"/>
      <c r="G55" s="469"/>
      <c r="H55" s="469"/>
      <c r="I55" s="469"/>
      <c r="J55" s="469"/>
      <c r="K55" s="135"/>
    </row>
    <row r="56" spans="2:11" ht="76.5" customHeight="1">
      <c r="B56" s="479"/>
      <c r="C56" s="479"/>
      <c r="D56" s="479"/>
      <c r="E56" s="479"/>
      <c r="F56" s="479"/>
      <c r="G56" s="479"/>
      <c r="H56" s="479"/>
      <c r="I56" s="479"/>
      <c r="J56" s="479"/>
      <c r="K56" s="479"/>
    </row>
    <row r="57" spans="2:11" ht="92.25" customHeight="1">
      <c r="B57" s="479"/>
      <c r="C57" s="479"/>
      <c r="D57" s="479"/>
      <c r="E57" s="479"/>
      <c r="F57" s="479"/>
      <c r="G57" s="479"/>
      <c r="H57" s="479"/>
      <c r="I57" s="479"/>
      <c r="J57" s="479"/>
      <c r="K57" s="479"/>
    </row>
    <row r="58" spans="2:11" ht="18.75" customHeight="1">
      <c r="B58" s="484"/>
      <c r="C58" s="484"/>
      <c r="D58" s="484"/>
      <c r="E58" s="484"/>
      <c r="F58" s="484"/>
      <c r="G58" s="484"/>
      <c r="H58" s="484"/>
      <c r="I58" s="484"/>
      <c r="J58" s="484"/>
      <c r="K58" s="135"/>
    </row>
    <row r="59" spans="2:11" ht="47.25" customHeight="1">
      <c r="B59" s="464"/>
      <c r="C59" s="464"/>
      <c r="D59" s="464"/>
      <c r="E59" s="464"/>
      <c r="F59" s="464"/>
      <c r="G59" s="464"/>
      <c r="H59" s="464"/>
      <c r="I59" s="464"/>
      <c r="J59" s="464"/>
      <c r="K59" s="464"/>
    </row>
    <row r="60" spans="2:11" ht="123.75" customHeight="1">
      <c r="B60" s="479"/>
      <c r="C60" s="479"/>
      <c r="D60" s="479"/>
      <c r="E60" s="479"/>
      <c r="F60" s="479"/>
      <c r="G60" s="479"/>
      <c r="H60" s="479"/>
      <c r="I60" s="479"/>
      <c r="J60" s="479"/>
      <c r="K60" s="479"/>
    </row>
    <row r="61" spans="2:11" ht="157.5" customHeight="1">
      <c r="B61" s="479"/>
      <c r="C61" s="479"/>
      <c r="D61" s="479"/>
      <c r="E61" s="479"/>
      <c r="F61" s="479"/>
      <c r="G61" s="479"/>
      <c r="H61" s="479"/>
      <c r="I61" s="479"/>
      <c r="J61" s="479"/>
      <c r="K61" s="479"/>
    </row>
    <row r="62" spans="2:11" ht="93.75" customHeight="1">
      <c r="B62" s="482"/>
      <c r="C62" s="484"/>
      <c r="D62" s="484"/>
      <c r="E62" s="484"/>
      <c r="F62" s="484"/>
      <c r="G62" s="484"/>
      <c r="H62" s="484"/>
      <c r="I62" s="484"/>
      <c r="J62" s="484"/>
      <c r="K62" s="484"/>
    </row>
    <row r="63" spans="2:11" ht="33" customHeight="1">
      <c r="B63" s="464"/>
      <c r="C63" s="464"/>
      <c r="D63" s="464"/>
      <c r="E63" s="464"/>
      <c r="F63" s="464"/>
      <c r="G63" s="464"/>
      <c r="H63" s="464"/>
      <c r="I63" s="464"/>
      <c r="J63" s="464"/>
      <c r="K63" s="464"/>
    </row>
    <row r="64" spans="2:11" ht="87.75" customHeight="1">
      <c r="B64" s="483"/>
      <c r="C64" s="483"/>
      <c r="D64" s="483"/>
      <c r="E64" s="483"/>
      <c r="F64" s="483"/>
      <c r="G64" s="483"/>
      <c r="H64" s="483"/>
      <c r="I64" s="483"/>
      <c r="J64" s="483"/>
      <c r="K64" s="483"/>
    </row>
    <row r="65" spans="2:11" ht="76.5" customHeight="1">
      <c r="B65" s="469"/>
      <c r="C65" s="483"/>
      <c r="D65" s="483"/>
      <c r="E65" s="483"/>
      <c r="F65" s="483"/>
      <c r="G65" s="483"/>
      <c r="H65" s="483"/>
      <c r="I65" s="483"/>
      <c r="J65" s="483"/>
      <c r="K65" s="483"/>
    </row>
    <row r="66" spans="2:11" ht="77.25" customHeight="1">
      <c r="B66" s="469"/>
      <c r="C66" s="483"/>
      <c r="D66" s="483"/>
      <c r="E66" s="483"/>
      <c r="F66" s="483"/>
      <c r="G66" s="483"/>
      <c r="H66" s="483"/>
      <c r="I66" s="483"/>
      <c r="J66" s="483"/>
      <c r="K66" s="483"/>
    </row>
    <row r="67" spans="2:11" ht="68.25" customHeight="1">
      <c r="B67" s="469"/>
      <c r="C67" s="483"/>
      <c r="D67" s="483"/>
      <c r="E67" s="483"/>
      <c r="F67" s="483"/>
      <c r="G67" s="483"/>
      <c r="H67" s="483"/>
      <c r="I67" s="483"/>
      <c r="J67" s="483"/>
      <c r="K67" s="483"/>
    </row>
    <row r="68" spans="2:11" ht="68.25" customHeight="1">
      <c r="B68" s="469"/>
      <c r="C68" s="483"/>
      <c r="D68" s="483"/>
      <c r="E68" s="483"/>
      <c r="F68" s="483"/>
      <c r="G68" s="483"/>
      <c r="H68" s="483"/>
      <c r="I68" s="483"/>
      <c r="J68" s="483"/>
      <c r="K68" s="483"/>
    </row>
    <row r="69" spans="2:11" ht="144" customHeight="1">
      <c r="B69" s="485"/>
      <c r="C69" s="479"/>
      <c r="D69" s="479"/>
      <c r="E69" s="479"/>
      <c r="F69" s="479"/>
      <c r="G69" s="479"/>
      <c r="H69" s="479"/>
      <c r="I69" s="479"/>
      <c r="J69" s="479"/>
      <c r="K69" s="479"/>
    </row>
    <row r="70" spans="2:11" ht="122.25" customHeight="1">
      <c r="B70" s="485"/>
      <c r="C70" s="479"/>
      <c r="D70" s="479"/>
      <c r="E70" s="479"/>
      <c r="F70" s="479"/>
      <c r="G70" s="479"/>
      <c r="H70" s="479"/>
      <c r="I70" s="479"/>
      <c r="J70" s="479"/>
      <c r="K70" s="479"/>
    </row>
    <row r="71" spans="2:11" ht="95.25" customHeight="1">
      <c r="B71" s="469"/>
      <c r="C71" s="469"/>
      <c r="D71" s="469"/>
      <c r="E71" s="469"/>
      <c r="F71" s="469"/>
      <c r="G71" s="469"/>
      <c r="H71" s="469"/>
      <c r="I71" s="469"/>
      <c r="J71" s="469"/>
      <c r="K71" s="469"/>
    </row>
    <row r="72" spans="2:11" ht="127.5" customHeight="1"/>
    <row r="73" spans="2:11">
      <c r="B73" s="134"/>
      <c r="C73" s="135"/>
      <c r="D73" s="135"/>
      <c r="E73" s="135"/>
      <c r="F73" s="135"/>
      <c r="G73" s="135"/>
      <c r="H73" s="135"/>
      <c r="I73" s="135"/>
      <c r="J73" s="135"/>
    </row>
  </sheetData>
  <sheetProtection algorithmName="SHA-512" hashValue="TqLe+GDTHdU02G4Ngi0QX9wYunFrMZoMqZH4in/1/cW9TpgevliDSz3n7s8OoCX21wrLDkl3Msb3DfUy+BKjSA==" saltValue="AeQmyKRszBr0ieK07tYd1w==" spinCount="100000" sheet="1" objects="1" scenarios="1"/>
  <mergeCells count="64">
    <mergeCell ref="B68:K68"/>
    <mergeCell ref="B70:K70"/>
    <mergeCell ref="B15:K15"/>
    <mergeCell ref="B61:K61"/>
    <mergeCell ref="B62:K62"/>
    <mergeCell ref="B63:K63"/>
    <mergeCell ref="B69:K69"/>
    <mergeCell ref="B64:K64"/>
    <mergeCell ref="B65:K65"/>
    <mergeCell ref="B66:K66"/>
    <mergeCell ref="B67:K67"/>
    <mergeCell ref="B49:K49"/>
    <mergeCell ref="B50:K50"/>
    <mergeCell ref="B51:K51"/>
    <mergeCell ref="B52:K52"/>
    <mergeCell ref="B58:J58"/>
    <mergeCell ref="B57:K57"/>
    <mergeCell ref="B59:K59"/>
    <mergeCell ref="B60:K60"/>
    <mergeCell ref="B55:J55"/>
    <mergeCell ref="B35:K35"/>
    <mergeCell ref="B43:K43"/>
    <mergeCell ref="B36:K36"/>
    <mergeCell ref="B53:K53"/>
    <mergeCell ref="B54:K54"/>
    <mergeCell ref="B56:K56"/>
    <mergeCell ref="B45:K45"/>
    <mergeCell ref="B46:K46"/>
    <mergeCell ref="B47:K47"/>
    <mergeCell ref="B48:K48"/>
    <mergeCell ref="B44:K44"/>
    <mergeCell ref="B39:K39"/>
    <mergeCell ref="B40:K40"/>
    <mergeCell ref="B41:K41"/>
    <mergeCell ref="B42:K42"/>
    <mergeCell ref="B37:K37"/>
    <mergeCell ref="B38:K38"/>
    <mergeCell ref="B22:K22"/>
    <mergeCell ref="B23:K23"/>
    <mergeCell ref="B24:K24"/>
    <mergeCell ref="B26:K26"/>
    <mergeCell ref="B28:K28"/>
    <mergeCell ref="B34:K34"/>
    <mergeCell ref="B30:K30"/>
    <mergeCell ref="B31:K31"/>
    <mergeCell ref="B33:K33"/>
    <mergeCell ref="C32:L32"/>
    <mergeCell ref="B27:K27"/>
    <mergeCell ref="B71:K71"/>
    <mergeCell ref="C8:F8"/>
    <mergeCell ref="H8:K8"/>
    <mergeCell ref="B11:K11"/>
    <mergeCell ref="B12:K12"/>
    <mergeCell ref="B25:K25"/>
    <mergeCell ref="B29:K29"/>
    <mergeCell ref="B16:K16"/>
    <mergeCell ref="B17:K17"/>
    <mergeCell ref="B18:K18"/>
    <mergeCell ref="B20:K20"/>
    <mergeCell ref="B21:K21"/>
    <mergeCell ref="C4:F4"/>
    <mergeCell ref="H4:K4"/>
    <mergeCell ref="C6:F6"/>
    <mergeCell ref="H6:K6"/>
  </mergeCells>
  <phoneticPr fontId="6" type="noConversion"/>
  <hyperlinks>
    <hyperlink ref="C6:F6" location="'Formule nutritive'!A5" display="Recipe database"/>
    <hyperlink ref="H6:K6" location="'Acidi &amp; concimi'!A5" display="Fertilizer and acid database"/>
    <hyperlink ref="H8:K8" location="Calcolo!F11" display="Calculation sheet"/>
    <hyperlink ref="H4:K4" location="Convertitore!B9" display="Unit converter  ppm&gt; mM"/>
    <hyperlink ref="C8:F8" location="Stampa!B1" display="Print  nutrient solution"/>
    <hyperlink ref="C4:F4" location="Parametri!A1" display="Inputs"/>
  </hyperlinks>
  <pageMargins left="0.75" right="0.75" top="0.98" bottom="1" header="0.5" footer="0.5"/>
  <pageSetup paperSize="9" scale="65" fitToHeight="0" orientation="portrait" horizontalDpi="300" verticalDpi="300" r:id="rId1"/>
  <headerFooter alignWithMargins="0">
    <oddHeader>&amp;C&amp;"Times New Roman,Corsivo"&amp;11Istruzioni "Sol-Nutri"</oddHeader>
    <oddFooter>Pagina &amp;P</oddFooter>
  </headerFooter>
  <rowBreaks count="1" manualBreakCount="1">
    <brk id="37" max="11" man="1"/>
  </rowBreaks>
  <drawing r:id="rId2"/>
  <legacyDrawing r:id="rId3"/>
  <oleObjects>
    <mc:AlternateContent xmlns:mc="http://schemas.openxmlformats.org/markup-compatibility/2006">
      <mc:Choice Requires="x14">
        <oleObject progId="PBrush" shapeId="10247" r:id="rId4">
          <objectPr defaultSize="0" autoPict="0" r:id="rId5">
            <anchor moveWithCells="1">
              <from>
                <xdr:col>0</xdr:col>
                <xdr:colOff>69850</xdr:colOff>
                <xdr:row>0</xdr:row>
                <xdr:rowOff>57150</xdr:rowOff>
              </from>
              <to>
                <xdr:col>1</xdr:col>
                <xdr:colOff>603250</xdr:colOff>
                <xdr:row>3</xdr:row>
                <xdr:rowOff>190500</xdr:rowOff>
              </to>
            </anchor>
          </objectPr>
        </oleObject>
      </mc:Choice>
      <mc:Fallback>
        <oleObject progId="PBrush" shapeId="10247" r:id="rId4"/>
      </mc:Fallback>
    </mc:AlternateContent>
    <mc:AlternateContent xmlns:mc="http://schemas.openxmlformats.org/markup-compatibility/2006">
      <mc:Choice Requires="x14">
        <oleObject progId="Word.Document.12" shapeId="10255" r:id="rId6">
          <objectPr defaultSize="0" autoPict="0" r:id="rId7">
            <anchor moveWithCells="1">
              <from>
                <xdr:col>1</xdr:col>
                <xdr:colOff>222250</xdr:colOff>
                <xdr:row>13</xdr:row>
                <xdr:rowOff>63500</xdr:rowOff>
              </from>
              <to>
                <xdr:col>11</xdr:col>
                <xdr:colOff>501650</xdr:colOff>
                <xdr:row>30</xdr:row>
                <xdr:rowOff>355600</xdr:rowOff>
              </to>
            </anchor>
          </objectPr>
        </oleObject>
      </mc:Choice>
      <mc:Fallback>
        <oleObject progId="Word.Document.12" shapeId="10255"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A1:AY328"/>
  <sheetViews>
    <sheetView showRowColHeaders="0" tabSelected="1" zoomScale="104" zoomScaleNormal="104" workbookViewId="0">
      <pane ySplit="11" topLeftCell="A12" activePane="bottomLeft" state="frozen"/>
      <selection pane="bottomLeft" activeCell="B19" sqref="B19"/>
    </sheetView>
  </sheetViews>
  <sheetFormatPr defaultColWidth="9" defaultRowHeight="12.5"/>
  <cols>
    <col min="1" max="1" width="3.25" style="13" customWidth="1"/>
    <col min="2" max="2" width="15.25" style="16" customWidth="1"/>
    <col min="3" max="4" width="8.33203125" style="16" customWidth="1"/>
    <col min="5" max="5" width="9" style="16"/>
    <col min="6" max="6" width="8.83203125" style="16" customWidth="1"/>
    <col min="7" max="7" width="8" style="16" customWidth="1"/>
    <col min="8" max="8" width="8.58203125" style="16" customWidth="1"/>
    <col min="9" max="9" width="8.83203125" style="16" customWidth="1"/>
    <col min="10" max="10" width="9" style="16"/>
    <col min="11" max="11" width="8.25" style="16" customWidth="1"/>
    <col min="12" max="12" width="7.08203125" style="16" customWidth="1"/>
    <col min="13" max="13" width="7.33203125" style="16" customWidth="1"/>
    <col min="14" max="14" width="8" style="16" customWidth="1"/>
    <col min="15" max="15" width="6.83203125" style="16" customWidth="1"/>
    <col min="16" max="16" width="7.33203125" style="16" customWidth="1"/>
    <col min="17" max="17" width="7.75" style="16" customWidth="1"/>
    <col min="18" max="22" width="7" style="16" customWidth="1"/>
    <col min="23" max="23" width="7.75" style="16" customWidth="1"/>
    <col min="24" max="32" width="6.33203125" style="16" customWidth="1"/>
    <col min="33" max="33" width="9" style="13"/>
    <col min="34" max="34" width="29" style="16" hidden="1" customWidth="1"/>
    <col min="35" max="35" width="11.58203125" style="16" hidden="1" customWidth="1"/>
    <col min="36" max="51" width="0" style="16" hidden="1" customWidth="1"/>
    <col min="52" max="16384" width="9" style="16"/>
  </cols>
  <sheetData>
    <row r="1" spans="2:50" ht="12" customHeight="1">
      <c r="B1" s="14" t="s">
        <v>40</v>
      </c>
      <c r="C1" s="14"/>
      <c r="D1" s="14"/>
      <c r="E1" s="14"/>
      <c r="F1" s="14"/>
      <c r="G1" s="14"/>
      <c r="H1" s="14"/>
      <c r="I1" s="14"/>
      <c r="J1" s="14"/>
      <c r="K1" s="14"/>
      <c r="L1" s="14"/>
      <c r="M1" s="14"/>
      <c r="N1" s="13"/>
      <c r="O1" s="14"/>
      <c r="P1" s="14"/>
      <c r="Q1" s="14"/>
      <c r="R1" s="14"/>
      <c r="S1" s="14"/>
      <c r="T1" s="14"/>
      <c r="U1" s="14"/>
      <c r="V1" s="14"/>
      <c r="W1" s="14"/>
      <c r="X1" s="14"/>
      <c r="Y1" s="14"/>
      <c r="Z1" s="14"/>
      <c r="AA1" s="14"/>
      <c r="AB1" s="14"/>
      <c r="AC1" s="14"/>
      <c r="AD1" s="14"/>
      <c r="AE1" s="14"/>
      <c r="AF1" s="14"/>
      <c r="AG1" s="14"/>
      <c r="AH1" s="15"/>
      <c r="AI1" s="15"/>
      <c r="AJ1" s="15"/>
      <c r="AK1" s="15"/>
      <c r="AL1" s="15"/>
      <c r="AM1" s="15"/>
      <c r="AN1" s="15"/>
      <c r="AO1" s="15"/>
      <c r="AP1" s="15"/>
      <c r="AQ1" s="15"/>
      <c r="AR1" s="15"/>
      <c r="AS1" s="15"/>
      <c r="AT1" s="15"/>
      <c r="AU1" s="15"/>
      <c r="AV1" s="15"/>
      <c r="AW1" s="15"/>
      <c r="AX1" s="15"/>
    </row>
    <row r="2" spans="2:50" ht="26.25" customHeight="1">
      <c r="B2" s="14"/>
      <c r="C2" s="309" t="s">
        <v>185</v>
      </c>
      <c r="E2" s="14"/>
      <c r="F2" s="14"/>
      <c r="G2" s="14"/>
      <c r="H2" s="14"/>
      <c r="I2" s="14"/>
      <c r="J2" s="14"/>
      <c r="K2" s="14"/>
      <c r="L2" s="14"/>
      <c r="M2" s="14"/>
      <c r="N2" s="13"/>
      <c r="O2" s="14"/>
      <c r="P2" s="14"/>
      <c r="Q2" s="14"/>
      <c r="R2" s="14"/>
      <c r="S2" s="14"/>
      <c r="T2" s="14"/>
      <c r="U2" s="14"/>
      <c r="V2" s="14"/>
      <c r="W2" s="14"/>
      <c r="X2" s="14"/>
      <c r="Y2" s="14"/>
      <c r="Z2" s="14"/>
      <c r="AA2" s="14"/>
      <c r="AB2" s="14"/>
      <c r="AC2" s="14"/>
      <c r="AD2" s="14"/>
      <c r="AE2" s="14"/>
      <c r="AF2" s="14"/>
      <c r="AG2" s="14"/>
      <c r="AH2" s="15"/>
      <c r="AI2" s="15"/>
      <c r="AJ2" s="15"/>
      <c r="AK2" s="15"/>
      <c r="AL2" s="15"/>
      <c r="AM2" s="15"/>
      <c r="AN2" s="15"/>
      <c r="AO2" s="15"/>
      <c r="AP2" s="15"/>
      <c r="AQ2" s="15"/>
      <c r="AR2" s="15"/>
      <c r="AS2" s="15"/>
      <c r="AT2" s="15"/>
      <c r="AU2" s="15"/>
      <c r="AV2" s="15"/>
      <c r="AW2" s="15"/>
      <c r="AX2" s="15"/>
    </row>
    <row r="3" spans="2:50" ht="27.75" customHeight="1">
      <c r="B3" s="14"/>
      <c r="C3" s="14"/>
      <c r="D3" s="14"/>
      <c r="E3" s="14"/>
      <c r="G3" s="14"/>
      <c r="H3" s="14"/>
      <c r="I3" s="14"/>
      <c r="J3" s="14"/>
      <c r="K3" s="14"/>
      <c r="L3" s="14"/>
      <c r="M3" s="14"/>
      <c r="N3" s="13"/>
      <c r="O3" s="14"/>
      <c r="P3" s="14"/>
      <c r="Q3" s="14"/>
      <c r="R3" s="14"/>
      <c r="S3" s="14"/>
      <c r="T3" s="14"/>
      <c r="U3" s="14"/>
      <c r="V3" s="14"/>
      <c r="W3" s="14"/>
      <c r="X3" s="14"/>
      <c r="Y3" s="14"/>
      <c r="Z3" s="14"/>
      <c r="AA3" s="14"/>
      <c r="AB3" s="14"/>
      <c r="AC3" s="14"/>
      <c r="AD3" s="14"/>
      <c r="AE3" s="14"/>
      <c r="AF3" s="14"/>
      <c r="AG3" s="14"/>
      <c r="AH3" s="15"/>
      <c r="AI3" s="15"/>
      <c r="AJ3" s="15"/>
      <c r="AK3" s="15"/>
      <c r="AL3" s="15"/>
      <c r="AM3" s="15"/>
      <c r="AN3" s="15"/>
      <c r="AO3" s="15"/>
      <c r="AP3" s="15"/>
      <c r="AQ3" s="15"/>
      <c r="AR3" s="15"/>
      <c r="AS3" s="15"/>
      <c r="AT3" s="15"/>
      <c r="AU3" s="15"/>
      <c r="AV3" s="15"/>
      <c r="AW3" s="15"/>
      <c r="AX3" s="15"/>
    </row>
    <row r="4" spans="2:50" ht="6.75" customHeight="1">
      <c r="B4" s="14"/>
      <c r="C4" s="14"/>
      <c r="D4" s="14"/>
      <c r="E4" s="14"/>
      <c r="F4" s="14"/>
      <c r="G4" s="14"/>
      <c r="H4" s="14"/>
      <c r="I4" s="14"/>
      <c r="J4" s="18"/>
      <c r="K4" s="18"/>
      <c r="L4" s="18"/>
      <c r="M4" s="18"/>
      <c r="N4" s="19"/>
      <c r="O4" s="18"/>
      <c r="P4" s="18"/>
      <c r="Q4" s="18"/>
      <c r="R4" s="18"/>
      <c r="S4" s="14"/>
      <c r="T4" s="14"/>
      <c r="U4" s="14"/>
      <c r="V4" s="14"/>
      <c r="W4" s="14"/>
      <c r="X4" s="14"/>
      <c r="Y4" s="14"/>
      <c r="Z4" s="14"/>
      <c r="AA4" s="14"/>
      <c r="AB4" s="14"/>
      <c r="AC4" s="14"/>
      <c r="AD4" s="14"/>
      <c r="AE4" s="14"/>
      <c r="AF4" s="14"/>
      <c r="AG4" s="14"/>
      <c r="AH4" s="15"/>
      <c r="AI4" s="15"/>
      <c r="AJ4" s="15"/>
      <c r="AK4" s="15"/>
      <c r="AL4" s="15"/>
      <c r="AM4" s="15"/>
      <c r="AN4" s="15"/>
      <c r="AO4" s="15"/>
      <c r="AP4" s="15"/>
      <c r="AQ4" s="15"/>
      <c r="AR4" s="15"/>
      <c r="AS4" s="15"/>
      <c r="AT4" s="15"/>
      <c r="AU4" s="15"/>
      <c r="AV4" s="15"/>
      <c r="AW4" s="15"/>
      <c r="AX4" s="15"/>
    </row>
    <row r="5" spans="2:50" ht="22" customHeight="1">
      <c r="B5" s="308"/>
      <c r="C5" s="18"/>
      <c r="D5" s="18"/>
      <c r="E5" s="18"/>
      <c r="F5" s="66"/>
      <c r="G5" s="14"/>
      <c r="I5" s="14"/>
      <c r="J5" s="466" t="s">
        <v>73</v>
      </c>
      <c r="K5" s="467"/>
      <c r="L5" s="467"/>
      <c r="M5" s="468"/>
      <c r="N5" s="19"/>
      <c r="O5" s="466" t="s">
        <v>171</v>
      </c>
      <c r="P5" s="467"/>
      <c r="Q5" s="467"/>
      <c r="R5" s="468"/>
      <c r="S5" s="14"/>
      <c r="T5" s="14"/>
      <c r="U5" s="14"/>
      <c r="V5" s="14"/>
      <c r="W5" s="14"/>
      <c r="X5" s="14"/>
      <c r="Y5" s="14"/>
      <c r="Z5" s="14"/>
      <c r="AA5" s="14"/>
      <c r="AB5" s="14"/>
      <c r="AC5" s="14"/>
      <c r="AD5" s="14"/>
      <c r="AE5" s="14"/>
      <c r="AF5" s="14"/>
      <c r="AG5" s="14"/>
      <c r="AH5" s="15"/>
      <c r="AI5" s="15"/>
      <c r="AJ5" s="15"/>
      <c r="AK5" s="15"/>
      <c r="AL5" s="15"/>
      <c r="AM5" s="15"/>
      <c r="AN5" s="15"/>
      <c r="AO5" s="15"/>
      <c r="AP5" s="15"/>
      <c r="AQ5" s="15"/>
      <c r="AR5" s="15"/>
      <c r="AS5" s="15"/>
      <c r="AT5" s="15"/>
      <c r="AU5" s="15"/>
      <c r="AV5" s="15"/>
      <c r="AW5" s="15"/>
      <c r="AX5" s="15"/>
    </row>
    <row r="6" spans="2:50" ht="6.75" customHeight="1">
      <c r="B6" s="18"/>
      <c r="C6" s="18"/>
      <c r="D6" s="18"/>
      <c r="E6" s="18"/>
      <c r="F6" s="18"/>
      <c r="G6" s="14"/>
      <c r="H6" s="14"/>
      <c r="I6" s="14"/>
      <c r="J6" s="18"/>
      <c r="K6" s="18"/>
      <c r="L6" s="18"/>
      <c r="M6" s="18"/>
      <c r="N6" s="19"/>
      <c r="O6" s="18"/>
      <c r="P6" s="18"/>
      <c r="Q6" s="18"/>
      <c r="R6" s="18"/>
      <c r="S6" s="14"/>
      <c r="T6" s="14"/>
      <c r="U6" s="14"/>
      <c r="V6" s="14"/>
      <c r="W6" s="14"/>
      <c r="X6" s="14"/>
      <c r="Y6" s="14"/>
      <c r="Z6" s="14"/>
      <c r="AA6" s="14"/>
      <c r="AB6" s="14"/>
      <c r="AC6" s="14"/>
      <c r="AD6" s="14"/>
      <c r="AE6" s="14"/>
      <c r="AF6" s="14"/>
      <c r="AG6" s="14"/>
      <c r="AH6" s="15"/>
      <c r="AI6" s="15"/>
      <c r="AJ6" s="15"/>
      <c r="AK6" s="15"/>
      <c r="AL6" s="15"/>
      <c r="AM6" s="15"/>
      <c r="AN6" s="15"/>
      <c r="AO6" s="15"/>
      <c r="AP6" s="15"/>
      <c r="AQ6" s="15"/>
      <c r="AR6" s="15"/>
      <c r="AS6" s="15"/>
      <c r="AT6" s="15"/>
      <c r="AU6" s="15"/>
      <c r="AV6" s="15"/>
      <c r="AW6" s="15"/>
      <c r="AX6" s="15"/>
    </row>
    <row r="7" spans="2:50" ht="22" customHeight="1">
      <c r="B7" s="18"/>
      <c r="C7" s="18"/>
      <c r="D7" s="18"/>
      <c r="E7" s="18"/>
      <c r="F7" s="18"/>
      <c r="G7" s="14"/>
      <c r="H7" s="14"/>
      <c r="I7" s="14"/>
      <c r="J7" s="466" t="s">
        <v>181</v>
      </c>
      <c r="K7" s="467"/>
      <c r="L7" s="467"/>
      <c r="M7" s="468"/>
      <c r="N7" s="138"/>
      <c r="O7" s="466" t="s">
        <v>182</v>
      </c>
      <c r="P7" s="467"/>
      <c r="Q7" s="467"/>
      <c r="R7" s="468"/>
      <c r="S7" s="14"/>
      <c r="T7" s="14"/>
      <c r="U7" s="14"/>
      <c r="V7" s="14"/>
      <c r="W7" s="14"/>
      <c r="X7" s="14"/>
      <c r="Y7" s="14"/>
      <c r="Z7" s="14"/>
      <c r="AA7" s="14"/>
      <c r="AB7" s="14"/>
      <c r="AC7" s="14"/>
      <c r="AD7" s="14"/>
      <c r="AE7" s="14"/>
      <c r="AF7" s="14"/>
      <c r="AG7" s="14"/>
      <c r="AH7" s="15"/>
      <c r="AI7" s="15"/>
      <c r="AJ7" s="15"/>
      <c r="AK7" s="15"/>
      <c r="AL7" s="15"/>
      <c r="AM7" s="15"/>
      <c r="AN7" s="15"/>
      <c r="AO7" s="15"/>
      <c r="AP7" s="15"/>
      <c r="AQ7" s="15"/>
      <c r="AR7" s="15"/>
      <c r="AS7" s="15"/>
      <c r="AT7" s="15"/>
      <c r="AU7" s="15"/>
      <c r="AV7" s="15"/>
      <c r="AW7" s="15"/>
      <c r="AX7" s="15"/>
    </row>
    <row r="8" spans="2:50" ht="6.75" customHeight="1">
      <c r="B8" s="18"/>
      <c r="C8" s="18"/>
      <c r="D8" s="18"/>
      <c r="E8" s="18"/>
      <c r="F8" s="18"/>
      <c r="G8" s="14"/>
      <c r="H8" s="14"/>
      <c r="I8" s="14"/>
      <c r="J8" s="18"/>
      <c r="K8" s="18"/>
      <c r="L8" s="18"/>
      <c r="M8" s="18"/>
      <c r="N8" s="19"/>
      <c r="O8" s="18"/>
      <c r="P8" s="18"/>
      <c r="Q8" s="18"/>
      <c r="R8" s="18"/>
      <c r="S8" s="14"/>
      <c r="T8" s="14"/>
      <c r="U8" s="14"/>
      <c r="V8" s="14"/>
      <c r="W8" s="14"/>
      <c r="X8" s="14"/>
      <c r="Y8" s="14"/>
      <c r="Z8" s="14"/>
      <c r="AA8" s="14"/>
      <c r="AB8" s="14"/>
      <c r="AC8" s="14"/>
      <c r="AD8" s="14"/>
      <c r="AE8" s="14"/>
      <c r="AF8" s="14"/>
      <c r="AG8" s="14"/>
      <c r="AH8" s="15"/>
      <c r="AI8" s="15"/>
      <c r="AJ8" s="15"/>
      <c r="AK8" s="15"/>
      <c r="AL8" s="15"/>
      <c r="AM8" s="15"/>
      <c r="AN8" s="15"/>
      <c r="AO8" s="15"/>
      <c r="AP8" s="15"/>
      <c r="AQ8" s="15"/>
      <c r="AR8" s="15"/>
      <c r="AS8" s="15"/>
      <c r="AT8" s="15"/>
      <c r="AU8" s="15"/>
      <c r="AV8" s="15"/>
      <c r="AW8" s="15"/>
      <c r="AX8" s="15"/>
    </row>
    <row r="9" spans="2:50" ht="22" customHeight="1">
      <c r="B9" s="18"/>
      <c r="C9" s="18"/>
      <c r="D9" s="18"/>
      <c r="E9" s="18"/>
      <c r="F9" s="18"/>
      <c r="G9" s="14"/>
      <c r="H9" s="14"/>
      <c r="I9" s="14"/>
      <c r="J9" s="466" t="s">
        <v>183</v>
      </c>
      <c r="K9" s="467"/>
      <c r="L9" s="467"/>
      <c r="M9" s="468"/>
      <c r="N9" s="19"/>
      <c r="O9" s="466" t="s">
        <v>184</v>
      </c>
      <c r="P9" s="467"/>
      <c r="Q9" s="467"/>
      <c r="R9" s="468"/>
      <c r="S9" s="14"/>
      <c r="T9" s="14"/>
      <c r="U9" s="14"/>
      <c r="V9" s="14"/>
      <c r="W9" s="14"/>
      <c r="X9" s="14"/>
      <c r="Y9" s="14"/>
      <c r="Z9" s="14"/>
      <c r="AA9" s="14"/>
      <c r="AB9" s="14"/>
      <c r="AC9" s="14"/>
      <c r="AD9" s="14"/>
      <c r="AE9" s="14"/>
      <c r="AF9" s="14"/>
      <c r="AG9" s="14"/>
      <c r="AH9" s="15"/>
      <c r="AI9" s="15"/>
      <c r="AJ9" s="15"/>
      <c r="AK9" s="15"/>
      <c r="AL9" s="15"/>
      <c r="AM9" s="15"/>
      <c r="AN9" s="15"/>
      <c r="AO9" s="15"/>
      <c r="AP9" s="15"/>
      <c r="AQ9" s="15"/>
      <c r="AR9" s="15"/>
      <c r="AS9" s="15"/>
      <c r="AT9" s="15"/>
      <c r="AU9" s="15"/>
      <c r="AV9" s="15"/>
      <c r="AW9" s="15"/>
      <c r="AX9" s="15"/>
    </row>
    <row r="10" spans="2:50" ht="6.75" customHeight="1">
      <c r="B10" s="18"/>
      <c r="C10" s="18"/>
      <c r="D10" s="18"/>
      <c r="E10" s="18"/>
      <c r="F10" s="18"/>
      <c r="G10" s="14"/>
      <c r="H10" s="14"/>
      <c r="I10" s="14"/>
      <c r="J10" s="19"/>
      <c r="K10" s="19"/>
      <c r="L10" s="19"/>
      <c r="M10" s="19"/>
      <c r="N10" s="19"/>
      <c r="O10" s="18"/>
      <c r="P10" s="18"/>
      <c r="Q10" s="18"/>
      <c r="R10" s="18"/>
      <c r="S10" s="14"/>
      <c r="T10" s="14"/>
      <c r="U10" s="14"/>
      <c r="V10" s="14"/>
      <c r="W10" s="14"/>
      <c r="X10" s="14"/>
      <c r="Y10" s="14"/>
      <c r="Z10" s="14"/>
      <c r="AA10" s="14"/>
      <c r="AB10" s="14"/>
      <c r="AC10" s="14"/>
      <c r="AD10" s="14"/>
      <c r="AE10" s="14"/>
      <c r="AF10" s="14"/>
      <c r="AG10" s="14"/>
      <c r="AH10" s="15"/>
      <c r="AI10" s="15"/>
      <c r="AJ10" s="15"/>
      <c r="AK10" s="15"/>
      <c r="AL10" s="15"/>
      <c r="AM10" s="15"/>
      <c r="AN10" s="15"/>
      <c r="AO10" s="15"/>
      <c r="AP10" s="15"/>
      <c r="AQ10" s="15"/>
      <c r="AR10" s="15"/>
      <c r="AS10" s="15"/>
      <c r="AT10" s="15"/>
      <c r="AU10" s="15"/>
      <c r="AV10" s="15"/>
      <c r="AW10" s="15"/>
      <c r="AX10" s="15"/>
    </row>
    <row r="11" spans="2:50" ht="19.5" customHeight="1">
      <c r="B11" s="18"/>
      <c r="C11" s="18"/>
      <c r="D11" s="18"/>
      <c r="E11" s="18"/>
      <c r="F11" s="18"/>
      <c r="G11" s="14"/>
      <c r="H11" s="14"/>
      <c r="I11" s="14"/>
      <c r="J11" s="13"/>
      <c r="K11" s="13"/>
      <c r="L11" s="13"/>
      <c r="M11" s="13"/>
      <c r="N11" s="13"/>
      <c r="O11" s="13"/>
      <c r="P11" s="13"/>
      <c r="Q11" s="13"/>
      <c r="R11" s="13"/>
      <c r="S11" s="14"/>
      <c r="T11" s="14"/>
      <c r="U11" s="14"/>
      <c r="V11" s="14"/>
      <c r="W11" s="14"/>
      <c r="X11" s="14"/>
      <c r="Y11" s="14"/>
      <c r="Z11" s="14"/>
      <c r="AA11" s="14"/>
      <c r="AB11" s="14"/>
      <c r="AC11" s="14"/>
      <c r="AD11" s="14"/>
      <c r="AE11" s="14"/>
      <c r="AF11" s="14"/>
      <c r="AG11" s="14"/>
      <c r="AH11" s="15"/>
      <c r="AI11" s="15"/>
      <c r="AJ11" s="15"/>
      <c r="AK11" s="15"/>
      <c r="AL11" s="15"/>
      <c r="AM11" s="15"/>
      <c r="AN11" s="15"/>
      <c r="AO11" s="15"/>
      <c r="AP11" s="15"/>
      <c r="AQ11" s="15"/>
      <c r="AR11" s="15"/>
      <c r="AS11" s="15"/>
      <c r="AT11" s="15"/>
      <c r="AU11" s="15"/>
      <c r="AV11" s="15"/>
      <c r="AW11" s="15"/>
      <c r="AX11" s="15"/>
    </row>
    <row r="12" spans="2:50" ht="19.5" customHeight="1">
      <c r="B12" s="14"/>
      <c r="C12" s="14"/>
      <c r="D12" s="14"/>
      <c r="E12" s="14"/>
      <c r="F12" s="14"/>
      <c r="G12" s="14"/>
      <c r="H12" s="14"/>
      <c r="I12" s="14"/>
      <c r="J12" s="14"/>
      <c r="K12" s="14"/>
      <c r="L12" s="20"/>
      <c r="M12" s="20"/>
      <c r="N12" s="20"/>
      <c r="O12" s="20"/>
      <c r="P12" s="14"/>
      <c r="Q12" s="14"/>
      <c r="R12" s="14"/>
      <c r="S12" s="14"/>
      <c r="T12" s="14"/>
      <c r="U12" s="14"/>
      <c r="V12" s="14"/>
      <c r="W12" s="14"/>
      <c r="X12" s="14"/>
      <c r="Y12" s="14"/>
      <c r="Z12" s="14"/>
      <c r="AA12" s="14"/>
      <c r="AB12" s="14"/>
      <c r="AC12" s="14"/>
      <c r="AD12" s="14"/>
      <c r="AE12" s="14"/>
      <c r="AF12" s="14"/>
      <c r="AG12" s="14"/>
      <c r="AH12" s="15"/>
      <c r="AI12" s="15"/>
      <c r="AJ12" s="15"/>
      <c r="AK12" s="15"/>
      <c r="AL12" s="15"/>
      <c r="AM12" s="15"/>
      <c r="AN12" s="15"/>
      <c r="AO12" s="15"/>
      <c r="AP12" s="15"/>
      <c r="AQ12" s="15"/>
      <c r="AR12" s="15"/>
      <c r="AS12" s="15"/>
      <c r="AT12" s="15"/>
      <c r="AU12" s="15"/>
      <c r="AV12" s="15"/>
      <c r="AW12" s="15"/>
      <c r="AX12" s="15"/>
    </row>
    <row r="13" spans="2:50" ht="6.75" customHeight="1">
      <c r="B13" s="14"/>
      <c r="C13" s="14"/>
      <c r="D13" s="14"/>
      <c r="E13" s="14"/>
      <c r="F13" s="14"/>
      <c r="G13" s="14"/>
      <c r="H13" s="14"/>
      <c r="I13" s="14"/>
      <c r="J13" s="14"/>
      <c r="K13" s="14"/>
      <c r="L13" s="14"/>
      <c r="M13" s="14"/>
      <c r="N13" s="13"/>
      <c r="O13" s="14"/>
      <c r="P13" s="14"/>
      <c r="Q13" s="14"/>
      <c r="R13" s="14"/>
      <c r="S13" s="14"/>
      <c r="T13" s="14"/>
      <c r="U13" s="14"/>
      <c r="V13" s="14"/>
      <c r="W13" s="14"/>
      <c r="X13" s="14"/>
      <c r="Y13" s="14"/>
      <c r="Z13" s="14"/>
      <c r="AA13" s="14"/>
      <c r="AB13" s="14"/>
      <c r="AC13" s="14"/>
      <c r="AD13" s="14"/>
      <c r="AE13" s="14"/>
      <c r="AF13" s="14"/>
      <c r="AG13" s="14"/>
      <c r="AH13" s="15"/>
      <c r="AI13" s="15"/>
      <c r="AJ13" s="15"/>
      <c r="AK13" s="15"/>
      <c r="AL13" s="15"/>
      <c r="AM13" s="15"/>
      <c r="AN13" s="15"/>
      <c r="AO13" s="15"/>
      <c r="AP13" s="15"/>
      <c r="AQ13" s="15"/>
      <c r="AR13" s="15"/>
      <c r="AS13" s="15"/>
      <c r="AT13" s="15"/>
      <c r="AU13" s="15"/>
      <c r="AV13" s="15"/>
      <c r="AW13" s="15"/>
      <c r="AX13" s="15"/>
    </row>
    <row r="14" spans="2:50" ht="18">
      <c r="B14" s="489" t="s">
        <v>189</v>
      </c>
      <c r="C14" s="489"/>
      <c r="D14" s="489"/>
      <c r="E14" s="489"/>
      <c r="F14" s="489"/>
      <c r="G14" s="489"/>
      <c r="H14" s="489"/>
      <c r="I14" s="489"/>
      <c r="J14" s="489"/>
      <c r="K14" s="489"/>
      <c r="L14" s="489"/>
      <c r="M14" s="489"/>
      <c r="N14" s="489"/>
      <c r="O14" s="489"/>
      <c r="Q14" s="14"/>
      <c r="R14" s="14"/>
      <c r="S14" s="14"/>
      <c r="T14" s="14"/>
      <c r="U14" s="14"/>
      <c r="V14" s="14"/>
      <c r="W14" s="14"/>
      <c r="X14" s="14"/>
      <c r="Y14" s="14"/>
      <c r="Z14" s="14"/>
      <c r="AA14" s="14"/>
      <c r="AB14" s="14"/>
      <c r="AC14" s="14"/>
      <c r="AD14" s="14"/>
      <c r="AE14" s="14"/>
      <c r="AF14" s="14"/>
      <c r="AG14" s="14"/>
      <c r="AH14" s="15"/>
      <c r="AI14" s="15"/>
      <c r="AJ14" s="15"/>
      <c r="AK14" s="15"/>
      <c r="AL14" s="15"/>
      <c r="AM14" s="15"/>
      <c r="AN14" s="15"/>
      <c r="AO14" s="15"/>
      <c r="AP14" s="15"/>
      <c r="AQ14" s="15"/>
      <c r="AR14" s="15"/>
      <c r="AS14" s="15"/>
      <c r="AT14" s="15"/>
      <c r="AU14" s="15"/>
      <c r="AV14" s="15"/>
      <c r="AW14" s="15"/>
      <c r="AX14" s="15"/>
    </row>
    <row r="15" spans="2:50" ht="15.5">
      <c r="B15" s="21" t="s">
        <v>54</v>
      </c>
      <c r="C15" s="22"/>
      <c r="D15" s="22"/>
      <c r="E15" s="22"/>
      <c r="F15" s="22"/>
      <c r="G15" s="22"/>
      <c r="H15" s="22"/>
      <c r="I15" s="22"/>
      <c r="J15" s="13"/>
      <c r="K15" s="13"/>
      <c r="L15" s="13"/>
      <c r="M15" s="13"/>
      <c r="N15" s="13"/>
      <c r="O15" s="13"/>
      <c r="P15" s="13"/>
      <c r="Q15" s="14"/>
      <c r="R15" s="14"/>
      <c r="S15" s="14"/>
      <c r="T15" s="14"/>
      <c r="U15" s="14"/>
      <c r="V15" s="14"/>
      <c r="W15" s="14"/>
      <c r="X15" s="14"/>
      <c r="Y15" s="14"/>
      <c r="Z15" s="14"/>
      <c r="AA15" s="14"/>
      <c r="AB15" s="14"/>
      <c r="AC15" s="14"/>
      <c r="AD15" s="14"/>
      <c r="AE15" s="14"/>
      <c r="AF15" s="14"/>
      <c r="AG15" s="14"/>
      <c r="AH15" s="15"/>
      <c r="AI15" s="15"/>
      <c r="AJ15" s="15"/>
      <c r="AK15" s="15"/>
      <c r="AL15" s="15"/>
      <c r="AM15" s="15"/>
      <c r="AN15" s="15"/>
      <c r="AO15" s="15"/>
      <c r="AP15" s="15"/>
      <c r="AQ15" s="15"/>
      <c r="AR15" s="15"/>
      <c r="AS15" s="15"/>
      <c r="AT15" s="15"/>
      <c r="AU15" s="15"/>
      <c r="AV15" s="15"/>
      <c r="AW15" s="15"/>
      <c r="AX15" s="15"/>
    </row>
    <row r="16" spans="2:50" ht="17.5">
      <c r="B16" s="23" t="s">
        <v>74</v>
      </c>
      <c r="C16" s="23" t="s">
        <v>173</v>
      </c>
      <c r="D16" s="23" t="s">
        <v>174</v>
      </c>
      <c r="E16" s="23" t="s">
        <v>175</v>
      </c>
      <c r="F16" s="23" t="s">
        <v>176</v>
      </c>
      <c r="G16" s="23" t="s">
        <v>7</v>
      </c>
      <c r="H16" s="23" t="s">
        <v>8</v>
      </c>
      <c r="I16" s="23" t="s">
        <v>9</v>
      </c>
      <c r="J16" s="23" t="s">
        <v>10</v>
      </c>
      <c r="K16" s="23" t="s">
        <v>177</v>
      </c>
      <c r="L16" s="23" t="s">
        <v>12</v>
      </c>
      <c r="M16" s="23" t="s">
        <v>13</v>
      </c>
      <c r="N16" s="23" t="s">
        <v>14</v>
      </c>
      <c r="O16" s="23" t="s">
        <v>15</v>
      </c>
      <c r="P16" s="23" t="s">
        <v>16</v>
      </c>
      <c r="Q16" s="23" t="s">
        <v>17</v>
      </c>
      <c r="R16" s="23" t="s">
        <v>18</v>
      </c>
      <c r="S16" s="14"/>
      <c r="T16" s="14"/>
      <c r="U16" s="14"/>
      <c r="V16" s="14"/>
      <c r="W16" s="14"/>
      <c r="X16" s="14"/>
      <c r="Y16" s="14"/>
      <c r="Z16" s="14"/>
      <c r="AA16" s="14"/>
      <c r="AB16" s="14"/>
      <c r="AC16" s="14"/>
      <c r="AD16" s="14"/>
      <c r="AE16" s="14"/>
      <c r="AF16" s="14"/>
      <c r="AG16" s="14"/>
      <c r="AH16" s="23" t="s">
        <v>61</v>
      </c>
      <c r="AI16" s="15"/>
      <c r="AJ16" s="15"/>
      <c r="AK16" s="15"/>
      <c r="AL16" s="15"/>
      <c r="AM16" s="15"/>
      <c r="AN16" s="15"/>
      <c r="AO16" s="15"/>
      <c r="AP16" s="15"/>
      <c r="AQ16" s="15"/>
      <c r="AR16" s="15"/>
      <c r="AS16" s="15"/>
      <c r="AT16" s="15"/>
      <c r="AU16" s="15"/>
      <c r="AV16" s="15"/>
      <c r="AW16" s="15"/>
      <c r="AX16" s="15"/>
    </row>
    <row r="17" spans="1:50" ht="15.5">
      <c r="C17" s="486" t="s">
        <v>75</v>
      </c>
      <c r="D17" s="487"/>
      <c r="E17" s="487"/>
      <c r="F17" s="487"/>
      <c r="G17" s="487"/>
      <c r="H17" s="487"/>
      <c r="I17" s="487"/>
      <c r="J17" s="487"/>
      <c r="K17" s="487"/>
      <c r="L17" s="488"/>
      <c r="M17" s="486" t="s">
        <v>76</v>
      </c>
      <c r="N17" s="487"/>
      <c r="O17" s="487"/>
      <c r="P17" s="487"/>
      <c r="Q17" s="487"/>
      <c r="R17" s="488"/>
      <c r="S17" s="14"/>
      <c r="T17" s="14"/>
      <c r="U17" s="14"/>
      <c r="V17" s="14"/>
      <c r="W17" s="14"/>
      <c r="X17" s="14"/>
      <c r="Y17" s="14"/>
      <c r="Z17" s="14"/>
      <c r="AA17" s="14"/>
      <c r="AB17" s="14"/>
      <c r="AC17" s="14"/>
      <c r="AD17" s="14"/>
      <c r="AE17" s="14"/>
      <c r="AF17" s="14"/>
      <c r="AG17" s="14"/>
      <c r="AH17" s="24">
        <f>E18+G18+H18*2+I18*2+J18</f>
        <v>0</v>
      </c>
      <c r="AI17" s="15">
        <f>AH17-AH21</f>
        <v>0</v>
      </c>
      <c r="AJ17" s="15"/>
      <c r="AK17" s="15"/>
      <c r="AL17" s="15"/>
      <c r="AM17" s="15"/>
      <c r="AN17" s="15"/>
      <c r="AO17" s="15"/>
      <c r="AP17" s="15"/>
      <c r="AQ17" s="15"/>
      <c r="AR17" s="15"/>
      <c r="AS17" s="15"/>
      <c r="AT17" s="15"/>
      <c r="AU17" s="15"/>
      <c r="AV17" s="15"/>
      <c r="AW17" s="15"/>
      <c r="AX17" s="15"/>
    </row>
    <row r="18" spans="1:50" ht="15.5">
      <c r="B18" s="25">
        <f>IF(SUM(E18,G18,H18,I18)&gt;0,(E18+G18+H18*2+I18*2+J18)*0.095+0.19,0)</f>
        <v>0</v>
      </c>
      <c r="C18" s="26"/>
      <c r="D18" s="26"/>
      <c r="E18" s="26"/>
      <c r="F18" s="26"/>
      <c r="G18" s="26"/>
      <c r="H18" s="26"/>
      <c r="I18" s="26"/>
      <c r="J18" s="26"/>
      <c r="K18" s="26"/>
      <c r="L18" s="26"/>
      <c r="M18" s="27"/>
      <c r="N18" s="27"/>
      <c r="O18" s="27"/>
      <c r="P18" s="27"/>
      <c r="Q18" s="27"/>
      <c r="R18" s="27"/>
      <c r="S18" s="14"/>
      <c r="T18" s="14"/>
      <c r="U18" s="14"/>
      <c r="V18" s="14"/>
      <c r="W18" s="14"/>
      <c r="X18" s="14"/>
      <c r="Y18" s="14"/>
      <c r="Z18" s="14"/>
      <c r="AA18" s="14"/>
      <c r="AB18" s="14"/>
      <c r="AC18" s="14"/>
      <c r="AD18" s="14"/>
      <c r="AE18" s="14"/>
      <c r="AF18" s="14"/>
      <c r="AG18" s="14"/>
      <c r="AH18" s="23" t="s">
        <v>62</v>
      </c>
      <c r="AI18" s="24"/>
      <c r="AJ18" s="24"/>
      <c r="AK18" s="15"/>
      <c r="AL18" s="15"/>
      <c r="AM18" s="15"/>
      <c r="AN18" s="15"/>
      <c r="AO18" s="15"/>
      <c r="AP18" s="15"/>
      <c r="AQ18" s="15"/>
      <c r="AR18" s="15"/>
      <c r="AS18" s="15"/>
      <c r="AT18" s="15"/>
      <c r="AU18" s="15"/>
      <c r="AV18" s="15"/>
      <c r="AW18" s="15"/>
      <c r="AX18" s="15"/>
    </row>
    <row r="19" spans="1:50" ht="15.5">
      <c r="B19" s="28"/>
      <c r="C19" s="29"/>
      <c r="D19" s="29"/>
      <c r="E19" s="29"/>
      <c r="F19" s="30"/>
      <c r="G19" s="30"/>
      <c r="H19" s="29"/>
      <c r="I19" s="29"/>
      <c r="J19" s="29"/>
      <c r="K19" s="30"/>
      <c r="L19" s="30"/>
      <c r="M19" s="31"/>
      <c r="N19" s="31"/>
      <c r="O19" s="31"/>
      <c r="P19" s="31"/>
      <c r="Q19" s="31"/>
      <c r="R19" s="31"/>
      <c r="S19" s="14"/>
      <c r="T19" s="14"/>
      <c r="U19" s="14"/>
      <c r="V19" s="14"/>
      <c r="W19" s="14"/>
      <c r="X19" s="14"/>
      <c r="Y19" s="14"/>
      <c r="Z19" s="14"/>
      <c r="AA19" s="14"/>
      <c r="AB19" s="14"/>
      <c r="AC19" s="14"/>
      <c r="AD19" s="14"/>
      <c r="AE19" s="14"/>
      <c r="AF19" s="14"/>
      <c r="AG19" s="14"/>
      <c r="AH19" s="32"/>
      <c r="AI19" s="24"/>
      <c r="AJ19" s="24"/>
      <c r="AK19" s="15"/>
      <c r="AL19" s="15"/>
      <c r="AM19" s="15"/>
      <c r="AN19" s="15"/>
      <c r="AO19" s="15"/>
      <c r="AP19" s="15"/>
      <c r="AQ19" s="15"/>
      <c r="AR19" s="15"/>
      <c r="AS19" s="15"/>
      <c r="AT19" s="15"/>
      <c r="AU19" s="15"/>
      <c r="AV19" s="15"/>
      <c r="AW19" s="15"/>
      <c r="AX19" s="15"/>
    </row>
    <row r="20" spans="1:50" ht="20.25" customHeight="1" thickBot="1">
      <c r="A20" s="19"/>
      <c r="B20" s="33" t="s">
        <v>77</v>
      </c>
      <c r="C20" s="34"/>
      <c r="D20" s="35"/>
      <c r="E20" s="36"/>
      <c r="F20" s="37" t="s">
        <v>54</v>
      </c>
      <c r="G20" s="30"/>
      <c r="H20" s="30"/>
      <c r="I20" s="30"/>
      <c r="J20" s="30"/>
      <c r="K20" s="30"/>
      <c r="L20" s="30"/>
      <c r="M20" s="31"/>
      <c r="N20" s="31"/>
      <c r="O20" s="31"/>
      <c r="P20" s="31"/>
      <c r="Q20" s="31"/>
      <c r="R20" s="31"/>
      <c r="S20" s="14"/>
      <c r="T20" s="14"/>
      <c r="U20" s="14"/>
      <c r="V20" s="14"/>
      <c r="W20" s="14"/>
      <c r="X20" s="14"/>
      <c r="Y20" s="14"/>
      <c r="Z20" s="14"/>
      <c r="AA20" s="14"/>
      <c r="AB20" s="14"/>
      <c r="AC20" s="14"/>
      <c r="AD20" s="14"/>
      <c r="AE20" s="14"/>
      <c r="AF20" s="14"/>
      <c r="AG20" s="14"/>
      <c r="AH20" s="32"/>
      <c r="AI20" s="24"/>
      <c r="AJ20" s="24"/>
      <c r="AK20" s="15"/>
      <c r="AL20" s="15"/>
      <c r="AM20" s="15"/>
      <c r="AN20" s="15"/>
      <c r="AO20" s="15"/>
      <c r="AP20" s="15"/>
      <c r="AQ20" s="15"/>
      <c r="AR20" s="15"/>
      <c r="AS20" s="15"/>
      <c r="AT20" s="15"/>
      <c r="AU20" s="15"/>
      <c r="AV20" s="15"/>
      <c r="AW20" s="15"/>
      <c r="AX20" s="15"/>
    </row>
    <row r="21" spans="1:50" ht="16" thickBot="1">
      <c r="A21" s="38"/>
      <c r="B21" s="39" t="str">
        <f>IF(AI17&gt;1,"[Cations] &gt; [Anions]",IF(AI17&lt;-1,"[Anions] &gt; [Cations]","OK"))</f>
        <v>OK</v>
      </c>
      <c r="C21" s="40"/>
      <c r="D21" s="41"/>
      <c r="E21" s="42"/>
      <c r="F21" s="36"/>
      <c r="G21" s="36"/>
      <c r="H21" s="13"/>
      <c r="I21" s="13"/>
      <c r="J21" s="13"/>
      <c r="K21" s="13"/>
      <c r="L21" s="36"/>
      <c r="M21" s="43"/>
      <c r="N21" s="43"/>
      <c r="O21" s="43"/>
      <c r="P21" s="43"/>
      <c r="Q21" s="43"/>
      <c r="R21" s="43"/>
      <c r="S21" s="14"/>
      <c r="T21" s="14"/>
      <c r="U21" s="14"/>
      <c r="V21" s="14"/>
      <c r="W21" s="14"/>
      <c r="X21" s="14"/>
      <c r="Y21" s="14"/>
      <c r="Z21" s="14"/>
      <c r="AA21" s="14"/>
      <c r="AB21" s="14"/>
      <c r="AC21" s="14"/>
      <c r="AD21" s="14"/>
      <c r="AE21" s="14"/>
      <c r="AF21" s="14"/>
      <c r="AG21" s="14"/>
      <c r="AH21" s="24">
        <f>C18+D18+F18+K18*2+L18</f>
        <v>0</v>
      </c>
      <c r="AI21" s="24"/>
      <c r="AJ21" s="24"/>
      <c r="AK21" s="15"/>
      <c r="AL21" s="15"/>
      <c r="AM21" s="15"/>
      <c r="AN21" s="15"/>
      <c r="AO21" s="15"/>
      <c r="AP21" s="15"/>
      <c r="AQ21" s="15"/>
      <c r="AR21" s="15"/>
      <c r="AS21" s="15"/>
      <c r="AT21" s="15"/>
      <c r="AU21" s="15"/>
      <c r="AV21" s="15"/>
      <c r="AW21" s="15"/>
      <c r="AX21" s="15"/>
    </row>
    <row r="22" spans="1:50" ht="15.5">
      <c r="B22" s="36"/>
      <c r="C22" s="36"/>
      <c r="D22" s="44"/>
      <c r="E22" s="44"/>
      <c r="F22" s="36"/>
      <c r="G22" s="36"/>
      <c r="H22" s="13"/>
      <c r="I22" s="13"/>
      <c r="J22" s="13"/>
      <c r="K22" s="13"/>
      <c r="L22" s="36"/>
      <c r="M22" s="43"/>
      <c r="N22" s="43"/>
      <c r="O22" s="43"/>
      <c r="P22" s="43"/>
      <c r="Q22" s="43"/>
      <c r="R22" s="43"/>
      <c r="S22" s="14"/>
      <c r="T22" s="14"/>
      <c r="U22" s="14"/>
      <c r="V22" s="14"/>
      <c r="W22" s="14"/>
      <c r="X22" s="14"/>
      <c r="Y22" s="14"/>
      <c r="Z22" s="14"/>
      <c r="AA22" s="14"/>
      <c r="AB22" s="14"/>
      <c r="AC22" s="14"/>
      <c r="AD22" s="14"/>
      <c r="AE22" s="14"/>
      <c r="AF22" s="14"/>
      <c r="AG22" s="14"/>
      <c r="AH22" s="24"/>
      <c r="AI22" s="24"/>
      <c r="AJ22" s="24"/>
      <c r="AK22" s="15"/>
      <c r="AL22" s="15"/>
      <c r="AM22" s="15"/>
      <c r="AN22" s="15"/>
      <c r="AO22" s="15"/>
      <c r="AP22" s="15"/>
      <c r="AQ22" s="15"/>
      <c r="AR22" s="15"/>
      <c r="AS22" s="15"/>
      <c r="AT22" s="15"/>
      <c r="AU22" s="15"/>
      <c r="AV22" s="15"/>
      <c r="AW22" s="15"/>
      <c r="AX22" s="15"/>
    </row>
    <row r="23" spans="1:50" s="13" customFormat="1" ht="18.75" customHeight="1">
      <c r="B23" s="45" t="s">
        <v>186</v>
      </c>
      <c r="D23" s="18"/>
      <c r="E23" s="18"/>
      <c r="F23" s="21" t="s">
        <v>54</v>
      </c>
      <c r="G23" s="18"/>
      <c r="L23" s="18"/>
      <c r="M23" s="18"/>
      <c r="N23" s="18"/>
      <c r="O23" s="18"/>
      <c r="P23" s="18"/>
      <c r="Q23" s="18"/>
      <c r="R23" s="18"/>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row>
    <row r="24" spans="1:50" ht="19.5" customHeight="1">
      <c r="B24" s="46" t="str">
        <f>IF(B18&lt;1.001,"OK","HIGH")</f>
        <v>OK</v>
      </c>
      <c r="C24" s="46" t="str">
        <f>IF(C18&lt;5.01,"OK","HIGH")</f>
        <v>OK</v>
      </c>
      <c r="D24" s="46" t="str">
        <f>IF(D18&lt;3.571,"OK","HIGH")</f>
        <v>OK</v>
      </c>
      <c r="E24" s="46" t="str">
        <f>IF(E18&lt;1.001,"OK","HIGH")</f>
        <v>OK</v>
      </c>
      <c r="F24" s="46" t="str">
        <f>IF(F18&lt;1.001,"OK","HIGH")</f>
        <v>OK</v>
      </c>
      <c r="G24" s="46" t="str">
        <f>IF(G18&lt;2.501,"OK","HIGH")</f>
        <v>OK</v>
      </c>
      <c r="H24" s="46" t="str">
        <f>IF(H18&lt;4.001,"OK","HIGH")</f>
        <v>OK</v>
      </c>
      <c r="I24" s="46" t="str">
        <f>IF(I18&lt;1.001,"OK","HIGH")</f>
        <v>OK</v>
      </c>
      <c r="J24" s="46" t="str">
        <f>IF(J18&lt;3.001,"OK","HIGH")</f>
        <v>OK</v>
      </c>
      <c r="K24" s="46" t="str">
        <f>IF(K18&lt;2.801,"OK","HIGH")</f>
        <v>OK</v>
      </c>
      <c r="L24" s="46" t="str">
        <f>IF(L18&lt;3.001,"OK","HIGH")</f>
        <v>OK</v>
      </c>
      <c r="M24" s="46" t="str">
        <f>IF(M18&gt;53.71,"HIGH","OK")</f>
        <v>OK</v>
      </c>
      <c r="N24" s="46" t="str">
        <f>IF(N18&lt;69.401,"OK","HIGH")</f>
        <v>OK</v>
      </c>
      <c r="O24" s="46" t="str">
        <f>IF(O18&gt;15.731,"HIGH","OK")</f>
        <v>OK</v>
      </c>
      <c r="P24" s="46" t="str">
        <f>IF(P18&gt;30.591,"HIGH","OK")</f>
        <v>OK</v>
      </c>
      <c r="Q24" s="46" t="str">
        <f>IF(Q18&gt;9.101,"HIGH","OK")</f>
        <v>OK</v>
      </c>
      <c r="R24" s="46" t="str">
        <f>IF(R18&gt;2.081,"HIGH","OK")</f>
        <v>OK</v>
      </c>
      <c r="S24" s="14"/>
      <c r="T24" s="14"/>
      <c r="U24" s="14"/>
      <c r="V24" s="14"/>
      <c r="W24" s="14"/>
      <c r="X24" s="14"/>
      <c r="Y24" s="14"/>
      <c r="Z24" s="14"/>
      <c r="AA24" s="14"/>
      <c r="AB24" s="14"/>
      <c r="AC24" s="14"/>
      <c r="AD24" s="14"/>
      <c r="AE24" s="14"/>
      <c r="AF24" s="14"/>
      <c r="AG24" s="14"/>
      <c r="AH24" s="24"/>
      <c r="AI24" s="24"/>
      <c r="AJ24" s="24"/>
      <c r="AK24" s="15"/>
      <c r="AL24" s="15"/>
      <c r="AM24" s="15"/>
      <c r="AN24" s="15"/>
      <c r="AO24" s="15"/>
      <c r="AP24" s="15"/>
      <c r="AQ24" s="15"/>
      <c r="AR24" s="15"/>
      <c r="AS24" s="15"/>
      <c r="AT24" s="15"/>
      <c r="AU24" s="15"/>
      <c r="AV24" s="15"/>
      <c r="AW24" s="15"/>
      <c r="AX24" s="15"/>
    </row>
    <row r="25" spans="1:50">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5"/>
      <c r="AI25" s="15"/>
      <c r="AJ25" s="15"/>
      <c r="AK25" s="15"/>
      <c r="AL25" s="15"/>
      <c r="AM25" s="15"/>
      <c r="AN25" s="15"/>
      <c r="AO25" s="15"/>
      <c r="AP25" s="15"/>
      <c r="AQ25" s="15"/>
      <c r="AR25" s="15"/>
      <c r="AS25" s="15"/>
      <c r="AT25" s="15"/>
      <c r="AU25" s="15"/>
      <c r="AV25" s="15"/>
      <c r="AW25" s="15"/>
      <c r="AX25" s="15"/>
    </row>
    <row r="26" spans="1:50" ht="15.5">
      <c r="B26" s="45" t="s">
        <v>180</v>
      </c>
      <c r="C26" s="22"/>
      <c r="D26" s="22"/>
      <c r="E26" s="22"/>
      <c r="F26" s="48"/>
      <c r="G26" s="21" t="s">
        <v>54</v>
      </c>
      <c r="H26" s="22"/>
      <c r="I26" s="22"/>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c r="AI26" s="15"/>
      <c r="AJ26" s="15"/>
      <c r="AK26" s="15"/>
      <c r="AL26" s="15"/>
      <c r="AM26" s="15"/>
      <c r="AN26" s="15"/>
      <c r="AO26" s="15"/>
      <c r="AP26" s="15"/>
      <c r="AQ26" s="15"/>
      <c r="AR26" s="15"/>
      <c r="AS26" s="15"/>
      <c r="AT26" s="15"/>
      <c r="AU26" s="15"/>
      <c r="AV26" s="15"/>
      <c r="AW26" s="15"/>
      <c r="AX26" s="15"/>
    </row>
    <row r="27" spans="1:50" ht="15.5">
      <c r="B27" s="49" t="s">
        <v>255</v>
      </c>
      <c r="C27" s="22"/>
      <c r="D27" s="22"/>
      <c r="E27" s="22"/>
      <c r="F27" s="22"/>
      <c r="G27" s="22"/>
      <c r="H27" s="50"/>
      <c r="I27" s="51">
        <v>200</v>
      </c>
      <c r="J27" s="255" t="s">
        <v>344</v>
      </c>
      <c r="K27" s="137" t="str">
        <f>IF(I27&gt;239.9,"There are precipitation risks in the stock NS","OK")</f>
        <v>OK</v>
      </c>
      <c r="L27" s="52"/>
      <c r="M27" s="52"/>
      <c r="N27" s="52"/>
      <c r="O27" s="444"/>
      <c r="P27" s="445"/>
      <c r="Q27" s="13"/>
      <c r="R27" s="13"/>
      <c r="S27" s="14"/>
      <c r="T27" s="14"/>
      <c r="U27" s="14"/>
      <c r="V27" s="14"/>
      <c r="W27" s="14"/>
      <c r="X27" s="14"/>
      <c r="Y27" s="14"/>
      <c r="Z27" s="14"/>
      <c r="AA27" s="14"/>
      <c r="AB27" s="14"/>
      <c r="AC27" s="14"/>
      <c r="AD27" s="14"/>
      <c r="AE27" s="14"/>
      <c r="AF27" s="14"/>
      <c r="AG27" s="14"/>
      <c r="AH27" s="15"/>
      <c r="AI27" s="15"/>
      <c r="AJ27" s="15"/>
      <c r="AK27" s="15"/>
      <c r="AL27" s="15"/>
      <c r="AM27" s="15"/>
      <c r="AN27" s="15"/>
      <c r="AO27" s="15"/>
      <c r="AP27" s="15"/>
      <c r="AQ27" s="15"/>
      <c r="AR27" s="15"/>
      <c r="AS27" s="15"/>
      <c r="AT27" s="15"/>
      <c r="AU27" s="15"/>
      <c r="AV27" s="15"/>
      <c r="AW27" s="15"/>
      <c r="AX27" s="15"/>
    </row>
    <row r="28" spans="1:50" ht="19.5" customHeight="1">
      <c r="B28" s="22" t="s">
        <v>144</v>
      </c>
      <c r="C28" s="22"/>
      <c r="D28" s="22"/>
      <c r="E28" s="22"/>
      <c r="F28" s="22"/>
      <c r="G28" s="22"/>
      <c r="H28" s="14"/>
      <c r="I28" s="53">
        <v>100</v>
      </c>
      <c r="J28" s="14"/>
      <c r="K28" s="14"/>
      <c r="L28" s="14"/>
      <c r="M28" s="14"/>
      <c r="N28" s="13"/>
      <c r="O28" s="13"/>
      <c r="P28" s="13"/>
      <c r="Q28" s="13"/>
      <c r="R28" s="13"/>
      <c r="S28" s="14"/>
      <c r="T28" s="14"/>
      <c r="U28" s="14"/>
      <c r="V28" s="14"/>
      <c r="W28" s="14"/>
      <c r="X28" s="14"/>
      <c r="Y28" s="14"/>
      <c r="Z28" s="14"/>
      <c r="AA28" s="14"/>
      <c r="AB28" s="14"/>
      <c r="AC28" s="14"/>
      <c r="AD28" s="14"/>
      <c r="AE28" s="14"/>
      <c r="AF28" s="14"/>
      <c r="AG28" s="14"/>
      <c r="AH28" s="15"/>
      <c r="AI28" s="15"/>
      <c r="AJ28" s="15"/>
      <c r="AK28" s="15"/>
      <c r="AL28" s="15"/>
      <c r="AM28" s="15"/>
      <c r="AN28" s="15"/>
      <c r="AO28" s="15"/>
      <c r="AP28" s="15"/>
      <c r="AQ28" s="15"/>
      <c r="AR28" s="15"/>
      <c r="AS28" s="15"/>
      <c r="AT28" s="15"/>
      <c r="AU28" s="15"/>
      <c r="AV28" s="15"/>
      <c r="AW28" s="15"/>
      <c r="AX28" s="15"/>
    </row>
    <row r="29" spans="1:50" ht="15.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54"/>
      <c r="AI29" s="54"/>
      <c r="AJ29" s="54"/>
      <c r="AK29" s="54"/>
      <c r="AL29" s="54"/>
      <c r="AM29" s="54"/>
      <c r="AN29" s="54"/>
      <c r="AO29" s="54"/>
      <c r="AP29" s="54"/>
      <c r="AQ29" s="54"/>
      <c r="AR29" s="54"/>
      <c r="AS29" s="54"/>
      <c r="AT29" s="54"/>
      <c r="AU29" s="54"/>
      <c r="AV29" s="54"/>
      <c r="AW29" s="54"/>
      <c r="AX29" s="54"/>
    </row>
    <row r="30" spans="1:50" ht="15.5">
      <c r="B30" s="45" t="s">
        <v>190</v>
      </c>
      <c r="C30" s="22"/>
      <c r="D30" s="22"/>
      <c r="E30" s="22"/>
      <c r="F30" s="21" t="s">
        <v>54</v>
      </c>
      <c r="G30" s="22"/>
      <c r="H30" s="22"/>
      <c r="I30" s="22"/>
      <c r="J30" s="14"/>
      <c r="K30" s="14"/>
      <c r="L30" s="14"/>
      <c r="M30" s="14"/>
      <c r="N30" s="14"/>
      <c r="O30" s="14"/>
      <c r="P30" s="14"/>
      <c r="Q30" s="14"/>
      <c r="R30" s="14"/>
      <c r="S30" s="14"/>
      <c r="T30" s="14"/>
      <c r="U30" s="14"/>
      <c r="V30" s="14"/>
      <c r="W30" s="14"/>
      <c r="X30" s="14"/>
      <c r="Y30" s="14"/>
      <c r="Z30" s="14"/>
      <c r="AA30" s="55">
        <v>2</v>
      </c>
      <c r="AB30" s="14"/>
      <c r="AC30" s="14"/>
      <c r="AD30" s="14"/>
      <c r="AE30" s="14"/>
      <c r="AF30" s="14"/>
      <c r="AG30" s="14"/>
      <c r="AH30" s="56"/>
      <c r="AI30" s="57" t="s">
        <v>56</v>
      </c>
      <c r="AJ30" s="56"/>
      <c r="AK30" s="57" t="s">
        <v>52</v>
      </c>
      <c r="AL30" s="57"/>
      <c r="AM30" s="57"/>
      <c r="AN30" s="56"/>
      <c r="AO30" s="54"/>
      <c r="AP30" s="54"/>
      <c r="AQ30" s="54"/>
      <c r="AR30" s="54"/>
      <c r="AS30" s="54"/>
      <c r="AT30" s="54"/>
      <c r="AU30" s="54"/>
      <c r="AV30" s="54"/>
      <c r="AW30" s="54"/>
      <c r="AX30" s="54"/>
    </row>
    <row r="31" spans="1:50" ht="15.5">
      <c r="B31" s="58"/>
      <c r="C31" s="58"/>
      <c r="D31" s="58"/>
      <c r="E31" s="58"/>
      <c r="F31" s="58"/>
      <c r="G31" s="22"/>
      <c r="H31" s="22"/>
      <c r="I31" s="13"/>
      <c r="J31" s="13"/>
      <c r="K31" s="14"/>
      <c r="L31" s="14"/>
      <c r="M31" s="59"/>
      <c r="N31" s="60"/>
      <c r="O31" s="14"/>
      <c r="P31" s="14"/>
      <c r="Q31" s="14"/>
      <c r="R31" s="14"/>
      <c r="S31" s="14"/>
      <c r="T31" s="14"/>
      <c r="U31" s="14"/>
      <c r="V31" s="14"/>
      <c r="W31" s="14"/>
      <c r="X31" s="14"/>
      <c r="Y31" s="14"/>
      <c r="Z31" s="14"/>
      <c r="AA31" s="55">
        <v>8</v>
      </c>
      <c r="AB31" s="14"/>
      <c r="AC31" s="14"/>
      <c r="AD31" s="14"/>
      <c r="AE31" s="14"/>
      <c r="AF31" s="14"/>
      <c r="AG31" s="14"/>
      <c r="AH31" s="56"/>
      <c r="AI31" s="61" t="str">
        <f>B32</f>
        <v>Tomato: Stage: Single</v>
      </c>
      <c r="AJ31" s="56"/>
      <c r="AK31" s="62"/>
      <c r="AL31" s="63"/>
      <c r="AM31" s="64"/>
      <c r="AN31" s="56"/>
      <c r="AO31" s="65"/>
      <c r="AP31" s="65"/>
      <c r="AQ31" s="65"/>
      <c r="AR31" s="65"/>
      <c r="AS31" s="65"/>
      <c r="AT31" s="65"/>
      <c r="AU31" s="65"/>
      <c r="AV31" s="65"/>
      <c r="AW31" s="65"/>
      <c r="AX31" s="65"/>
    </row>
    <row r="32" spans="1:50" ht="15.5">
      <c r="B32" s="490" t="s">
        <v>350</v>
      </c>
      <c r="C32" s="491"/>
      <c r="D32" s="491"/>
      <c r="E32" s="491"/>
      <c r="F32" s="492"/>
      <c r="G32" s="22"/>
      <c r="H32" s="22"/>
      <c r="I32" s="22"/>
      <c r="J32" s="13"/>
      <c r="K32" s="13"/>
      <c r="L32" s="13"/>
      <c r="M32" s="13"/>
      <c r="N32" s="13"/>
      <c r="O32" s="13"/>
      <c r="P32" s="13"/>
      <c r="R32" s="14"/>
      <c r="S32" s="14"/>
      <c r="T32" s="14"/>
      <c r="U32" s="14"/>
      <c r="V32" s="14"/>
      <c r="W32" s="14"/>
      <c r="X32" s="14"/>
      <c r="Y32" s="14"/>
      <c r="Z32" s="14"/>
      <c r="AA32" s="57"/>
      <c r="AB32" s="14"/>
      <c r="AC32" s="14"/>
      <c r="AD32" s="14"/>
      <c r="AE32" s="14"/>
      <c r="AF32" s="14"/>
      <c r="AG32" s="14"/>
      <c r="AH32" s="56"/>
      <c r="AI32" s="56"/>
      <c r="AJ32" s="56"/>
      <c r="AK32" s="56"/>
      <c r="AL32" s="56"/>
      <c r="AM32" s="56"/>
      <c r="AN32" s="56"/>
      <c r="AO32" s="65"/>
      <c r="AP32" s="65"/>
      <c r="AQ32" s="65"/>
      <c r="AR32" s="65"/>
      <c r="AS32" s="65"/>
      <c r="AT32" s="65"/>
      <c r="AU32" s="65"/>
      <c r="AV32" s="65"/>
      <c r="AW32" s="65"/>
      <c r="AX32" s="65"/>
    </row>
    <row r="33" spans="2:51" ht="15.5">
      <c r="B33" s="22"/>
      <c r="C33" s="22"/>
      <c r="D33" s="22"/>
      <c r="E33" s="22"/>
      <c r="F33" s="22"/>
      <c r="G33" s="22"/>
      <c r="H33" s="22"/>
      <c r="I33" s="22"/>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65"/>
      <c r="AI33" s="65"/>
      <c r="AJ33" s="65"/>
      <c r="AK33" s="65"/>
      <c r="AL33" s="65"/>
      <c r="AM33" s="65"/>
      <c r="AN33" s="65"/>
      <c r="AO33" s="65"/>
      <c r="AP33" s="65"/>
      <c r="AQ33" s="65"/>
      <c r="AR33" s="65"/>
      <c r="AS33" s="65"/>
      <c r="AT33" s="65"/>
      <c r="AU33" s="65"/>
      <c r="AV33" s="65"/>
      <c r="AW33" s="65"/>
      <c r="AX33" s="65"/>
    </row>
    <row r="34" spans="2:51" ht="17.5">
      <c r="B34" s="23" t="s">
        <v>74</v>
      </c>
      <c r="C34" s="23" t="s">
        <v>174</v>
      </c>
      <c r="D34" s="23" t="s">
        <v>175</v>
      </c>
      <c r="E34" s="23" t="s">
        <v>176</v>
      </c>
      <c r="F34" s="23" t="s">
        <v>7</v>
      </c>
      <c r="G34" s="23" t="s">
        <v>8</v>
      </c>
      <c r="H34" s="23" t="s">
        <v>9</v>
      </c>
      <c r="I34" s="23" t="s">
        <v>10</v>
      </c>
      <c r="J34" s="23" t="s">
        <v>177</v>
      </c>
      <c r="K34" s="23" t="s">
        <v>12</v>
      </c>
      <c r="L34" s="23" t="s">
        <v>13</v>
      </c>
      <c r="M34" s="23" t="s">
        <v>14</v>
      </c>
      <c r="N34" s="23" t="s">
        <v>15</v>
      </c>
      <c r="O34" s="23" t="s">
        <v>16</v>
      </c>
      <c r="P34" s="23" t="s">
        <v>17</v>
      </c>
      <c r="Q34" s="23" t="s">
        <v>18</v>
      </c>
      <c r="R34" s="66"/>
      <c r="S34" s="14"/>
      <c r="T34" s="14"/>
      <c r="U34" s="14"/>
      <c r="V34" s="14"/>
      <c r="W34" s="14"/>
      <c r="X34" s="14"/>
      <c r="Y34" s="14"/>
      <c r="Z34" s="14"/>
      <c r="AA34" s="14"/>
      <c r="AB34" s="14"/>
      <c r="AC34" s="14"/>
      <c r="AD34" s="14"/>
      <c r="AE34" s="14"/>
      <c r="AF34" s="14"/>
      <c r="AG34" s="14"/>
      <c r="AH34" s="23" t="s">
        <v>19</v>
      </c>
      <c r="AI34" s="23" t="s">
        <v>58</v>
      </c>
      <c r="AJ34" s="23" t="s">
        <v>4</v>
      </c>
      <c r="AK34" s="23" t="s">
        <v>5</v>
      </c>
      <c r="AL34" s="23" t="s">
        <v>59</v>
      </c>
      <c r="AM34" s="23" t="s">
        <v>7</v>
      </c>
      <c r="AN34" s="23" t="s">
        <v>8</v>
      </c>
      <c r="AO34" s="23" t="s">
        <v>9</v>
      </c>
      <c r="AP34" s="23" t="s">
        <v>10</v>
      </c>
      <c r="AQ34" s="23" t="s">
        <v>11</v>
      </c>
      <c r="AR34" s="23" t="s">
        <v>12</v>
      </c>
      <c r="AS34" s="23" t="s">
        <v>13</v>
      </c>
      <c r="AT34" s="23" t="s">
        <v>14</v>
      </c>
      <c r="AU34" s="23" t="s">
        <v>15</v>
      </c>
      <c r="AV34" s="23" t="s">
        <v>16</v>
      </c>
      <c r="AW34" s="23" t="s">
        <v>17</v>
      </c>
      <c r="AX34" s="23" t="s">
        <v>18</v>
      </c>
      <c r="AY34" s="67"/>
    </row>
    <row r="35" spans="2:51" ht="15.5">
      <c r="B35" s="68"/>
      <c r="C35" s="486" t="s">
        <v>75</v>
      </c>
      <c r="D35" s="487"/>
      <c r="E35" s="487"/>
      <c r="F35" s="487"/>
      <c r="G35" s="487"/>
      <c r="H35" s="487"/>
      <c r="I35" s="487"/>
      <c r="J35" s="487"/>
      <c r="K35" s="487"/>
      <c r="L35" s="488"/>
      <c r="M35" s="486" t="s">
        <v>76</v>
      </c>
      <c r="N35" s="487"/>
      <c r="O35" s="487"/>
      <c r="P35" s="487"/>
      <c r="Q35" s="488"/>
      <c r="R35" s="69"/>
      <c r="S35" s="14"/>
      <c r="T35" s="14"/>
      <c r="U35" s="14"/>
      <c r="V35" s="14"/>
      <c r="W35" s="14"/>
      <c r="X35" s="14"/>
      <c r="Y35" s="14"/>
      <c r="Z35" s="14"/>
      <c r="AA35" s="14"/>
      <c r="AB35" s="14"/>
      <c r="AC35" s="14"/>
      <c r="AD35" s="14"/>
      <c r="AE35" s="14"/>
      <c r="AF35" s="14"/>
      <c r="AG35" s="14"/>
      <c r="AH35" s="23"/>
      <c r="AI35" s="23"/>
      <c r="AJ35" s="23"/>
      <c r="AK35" s="23"/>
      <c r="AL35" s="23"/>
      <c r="AM35" s="23"/>
      <c r="AN35" s="23"/>
      <c r="AO35" s="23"/>
      <c r="AP35" s="23"/>
      <c r="AQ35" s="23"/>
      <c r="AR35" s="23"/>
      <c r="AS35" s="23"/>
      <c r="AT35" s="23"/>
      <c r="AU35" s="23"/>
      <c r="AV35" s="23"/>
      <c r="AW35" s="23"/>
      <c r="AX35" s="23"/>
      <c r="AY35" s="67"/>
    </row>
    <row r="36" spans="2:51" ht="19.5" customHeight="1">
      <c r="B36" s="25">
        <f>IF(SUM(D36,G36,H36,I36)&gt;0,(D36+F36+G36*2+H36*2+I36)*0.095+0.19,0)</f>
        <v>2.09</v>
      </c>
      <c r="C36" s="70">
        <f>VLOOKUP($B$32,'Formule nutritive'!BA9:BQ58,3,FALSE)</f>
        <v>14</v>
      </c>
      <c r="D36" s="70">
        <f>VLOOKUP($B$32,'Formule nutritive'!BA9:BQ58,4,FALSE)</f>
        <v>1</v>
      </c>
      <c r="E36" s="70">
        <f>VLOOKUP($B$32,'Formule nutritive'!BA9:BQ58,5,FALSE)</f>
        <v>1</v>
      </c>
      <c r="F36" s="70">
        <f>VLOOKUP(B32,'Formule nutritive'!BA9:BQ58,6,FALSE)</f>
        <v>8</v>
      </c>
      <c r="G36" s="70">
        <f>VLOOKUP($B$32,'Formule nutritive'!BA9:BQ58,7,FALSE)</f>
        <v>4</v>
      </c>
      <c r="H36" s="70">
        <f>VLOOKUP($B$32,'Formule nutritive'!BA9:BQ58,8,FALSE)</f>
        <v>1.5</v>
      </c>
      <c r="I36" s="70">
        <f>VLOOKUP($B$32,'Formule nutritive'!BA9:BQ58,9,FALSE)</f>
        <v>0</v>
      </c>
      <c r="J36" s="70">
        <f>VLOOKUP($B$32,'Formule nutritive'!BA9:BQ58,10,FALSE)</f>
        <v>2.5</v>
      </c>
      <c r="K36" s="70">
        <f>VLOOKUP($B$32,'Formule nutritive'!BA9:BQ58,11,FALSE)</f>
        <v>0</v>
      </c>
      <c r="L36" s="71">
        <f>VLOOKUP($B$32,'Formule nutritive'!BA9:BQ58,12,FALSE)</f>
        <v>15</v>
      </c>
      <c r="M36" s="71">
        <f>VLOOKUP($B$32,'Formule nutritive'!BA9:BQ58,13,FALSE)</f>
        <v>20</v>
      </c>
      <c r="N36" s="71">
        <f>VLOOKUP($B$32,'Formule nutritive'!BA9:BQ58,14,FALSE)</f>
        <v>1</v>
      </c>
      <c r="O36" s="71">
        <f>VLOOKUP($B$32,'Formule nutritive'!BA9:BQ58,15,FALSE)</f>
        <v>5</v>
      </c>
      <c r="P36" s="71">
        <f>VLOOKUP($B$32,'Formule nutritive'!BA9:BQ58,16,FALSE)</f>
        <v>10</v>
      </c>
      <c r="Q36" s="71">
        <f>VLOOKUP($B$32,'Formule nutritive'!BA9:BQ58,17,FALSE)</f>
        <v>1</v>
      </c>
      <c r="R36" s="72" t="str">
        <f>INDEX('Formule nutritive'!S9:S58,Parametri!$AK$32)</f>
        <v/>
      </c>
      <c r="S36" s="14"/>
      <c r="T36" s="14"/>
      <c r="U36" s="14"/>
      <c r="V36" s="14"/>
      <c r="W36" s="14"/>
      <c r="X36" s="14"/>
      <c r="Y36" s="14"/>
      <c r="Z36" s="14"/>
      <c r="AA36" s="14"/>
      <c r="AB36" s="14"/>
      <c r="AC36" s="14"/>
      <c r="AD36" s="14"/>
      <c r="AE36" s="14"/>
      <c r="AF36" s="14"/>
      <c r="AG36" s="14"/>
      <c r="AH36" s="73">
        <f>IF((AK36+AM36+AN36*2+AO36*2+AP36)&gt;0,((AK36+AM36+AN36*2+AO36*2+AP36)*0.095+0.19),0)</f>
        <v>2.09</v>
      </c>
      <c r="AI36" s="73">
        <f>C18</f>
        <v>0</v>
      </c>
      <c r="AJ36" s="73">
        <f t="shared" ref="AJ36:AX36" si="0">IF(D18&gt;C36,D18,C36)</f>
        <v>14</v>
      </c>
      <c r="AK36" s="73">
        <f t="shared" si="0"/>
        <v>1</v>
      </c>
      <c r="AL36" s="73">
        <f t="shared" si="0"/>
        <v>1</v>
      </c>
      <c r="AM36" s="73">
        <f t="shared" si="0"/>
        <v>8</v>
      </c>
      <c r="AN36" s="73">
        <f t="shared" si="0"/>
        <v>4</v>
      </c>
      <c r="AO36" s="73">
        <f t="shared" si="0"/>
        <v>1.5</v>
      </c>
      <c r="AP36" s="73">
        <f t="shared" si="0"/>
        <v>0</v>
      </c>
      <c r="AQ36" s="73">
        <f t="shared" si="0"/>
        <v>2.5</v>
      </c>
      <c r="AR36" s="73">
        <f t="shared" si="0"/>
        <v>0</v>
      </c>
      <c r="AS36" s="73">
        <f t="shared" si="0"/>
        <v>15</v>
      </c>
      <c r="AT36" s="73">
        <f t="shared" si="0"/>
        <v>20</v>
      </c>
      <c r="AU36" s="73">
        <f t="shared" si="0"/>
        <v>1</v>
      </c>
      <c r="AV36" s="73">
        <f t="shared" si="0"/>
        <v>5</v>
      </c>
      <c r="AW36" s="74">
        <f t="shared" si="0"/>
        <v>10</v>
      </c>
      <c r="AX36" s="73">
        <f t="shared" si="0"/>
        <v>1</v>
      </c>
      <c r="AY36" s="67"/>
    </row>
    <row r="37" spans="2:51" ht="19.5" customHeight="1">
      <c r="B37" s="75" t="s">
        <v>70</v>
      </c>
      <c r="C37" s="76">
        <f>C36*14.007</f>
        <v>196.09799999999998</v>
      </c>
      <c r="D37" s="76">
        <f>D36*14.007</f>
        <v>14.007</v>
      </c>
      <c r="E37" s="76">
        <f>E36*30.97</f>
        <v>30.97</v>
      </c>
      <c r="F37" s="76">
        <f>F36*39.1</f>
        <v>312.8</v>
      </c>
      <c r="G37" s="76">
        <f>G36*40.08</f>
        <v>160.32</v>
      </c>
      <c r="H37" s="76">
        <f>H36*24.31</f>
        <v>36.464999999999996</v>
      </c>
      <c r="I37" s="76">
        <f>I36*22.9898</f>
        <v>0</v>
      </c>
      <c r="J37" s="76">
        <f>J36*32</f>
        <v>80</v>
      </c>
      <c r="K37" s="76">
        <f>K36*35.47</f>
        <v>0</v>
      </c>
      <c r="L37" s="77">
        <f>L36*55.85/1000</f>
        <v>0.83774999999999999</v>
      </c>
      <c r="M37" s="77">
        <f>M36*10.8/1000</f>
        <v>0.216</v>
      </c>
      <c r="N37" s="77">
        <f>N36*63.55/1000</f>
        <v>6.3549999999999995E-2</v>
      </c>
      <c r="O37" s="77">
        <f>O36*65.38/1000</f>
        <v>0.32689999999999997</v>
      </c>
      <c r="P37" s="77">
        <f>P36*54.94/1000</f>
        <v>0.5494</v>
      </c>
      <c r="Q37" s="77">
        <f>Q36*95.95/1000</f>
        <v>9.5950000000000008E-2</v>
      </c>
      <c r="R37" s="72"/>
      <c r="S37" s="14"/>
      <c r="T37" s="14"/>
      <c r="U37" s="14"/>
      <c r="V37" s="14"/>
      <c r="W37" s="14"/>
      <c r="X37" s="14"/>
      <c r="Y37" s="14"/>
      <c r="Z37" s="14"/>
      <c r="AA37" s="14"/>
      <c r="AB37" s="14"/>
      <c r="AC37" s="14"/>
      <c r="AD37" s="14"/>
      <c r="AE37" s="14"/>
      <c r="AF37" s="14"/>
      <c r="AG37" s="14"/>
      <c r="AH37" s="78"/>
      <c r="AI37" s="73"/>
      <c r="AJ37" s="73"/>
      <c r="AK37" s="73"/>
      <c r="AL37" s="73"/>
      <c r="AM37" s="73"/>
      <c r="AN37" s="73"/>
      <c r="AO37" s="73"/>
      <c r="AP37" s="73"/>
      <c r="AQ37" s="73"/>
      <c r="AR37" s="73"/>
      <c r="AS37" s="78"/>
      <c r="AT37" s="78"/>
      <c r="AU37" s="78"/>
      <c r="AV37" s="78"/>
      <c r="AW37" s="79"/>
      <c r="AX37" s="78"/>
      <c r="AY37" s="67"/>
    </row>
    <row r="38" spans="2:51" ht="16.5" customHeight="1">
      <c r="B38" s="80" t="s">
        <v>57</v>
      </c>
      <c r="C38" s="81" t="str">
        <f>IF(C36&gt;18,"Anom.","")</f>
        <v/>
      </c>
      <c r="D38" s="81" t="str">
        <f>IF(D36&gt;3,"Anom.","")</f>
        <v/>
      </c>
      <c r="E38" s="81" t="str">
        <f>IF(E36&gt;2,"Anom.","")</f>
        <v/>
      </c>
      <c r="F38" s="81" t="str">
        <f>IF(F36&gt;10,"Anom.","")</f>
        <v/>
      </c>
      <c r="G38" s="81" t="str">
        <f>IF(G36&gt;5,"Anom.","")</f>
        <v/>
      </c>
      <c r="H38" s="81" t="str">
        <f>IF(H36&gt;2,"Anom.","")</f>
        <v/>
      </c>
      <c r="I38" s="81" t="str">
        <f>IF(I36&gt;6.5,"Anom.","")</f>
        <v/>
      </c>
      <c r="J38" s="81" t="str">
        <f>IF(J36&gt;6.5,"Anom.","")</f>
        <v/>
      </c>
      <c r="K38" s="81" t="str">
        <f>IF(K36&gt;4.5,"Anom.","")</f>
        <v/>
      </c>
      <c r="L38" s="81" t="str">
        <f>IF(L36&gt;69.5,"Anom.","")</f>
        <v/>
      </c>
      <c r="M38" s="81" t="str">
        <f>IF(M36&gt;70,"Anom.","")</f>
        <v/>
      </c>
      <c r="N38" s="81" t="str">
        <f>IF(N36&gt;15,"Anom.","")</f>
        <v/>
      </c>
      <c r="O38" s="81" t="str">
        <f>IF(O36&gt;23.01,"Anom.","")</f>
        <v/>
      </c>
      <c r="P38" s="81" t="str">
        <f>IF(P36&gt;36,"Anom.","")</f>
        <v/>
      </c>
      <c r="Q38" s="81" t="str">
        <f>IF(Q36&gt;8.01,"Anom.","")</f>
        <v/>
      </c>
      <c r="R38" s="18"/>
      <c r="S38" s="14"/>
      <c r="T38" s="14"/>
      <c r="U38" s="14"/>
      <c r="V38" s="14"/>
      <c r="W38" s="14"/>
      <c r="X38" s="14"/>
      <c r="Y38" s="14"/>
      <c r="Z38" s="14"/>
      <c r="AA38" s="14"/>
      <c r="AB38" s="14"/>
      <c r="AC38" s="14"/>
      <c r="AD38" s="14"/>
      <c r="AE38" s="14"/>
      <c r="AF38" s="14"/>
      <c r="AG38" s="14"/>
      <c r="AI38" s="23" t="s">
        <v>19</v>
      </c>
      <c r="AJ38" s="23" t="s">
        <v>4</v>
      </c>
      <c r="AK38" s="23" t="s">
        <v>5</v>
      </c>
      <c r="AL38" s="23" t="s">
        <v>59</v>
      </c>
      <c r="AM38" s="23" t="s">
        <v>7</v>
      </c>
      <c r="AN38" s="23" t="s">
        <v>8</v>
      </c>
      <c r="AO38" s="23" t="s">
        <v>9</v>
      </c>
      <c r="AP38" s="23" t="s">
        <v>10</v>
      </c>
      <c r="AQ38" s="23" t="s">
        <v>11</v>
      </c>
      <c r="AR38" s="23" t="s">
        <v>12</v>
      </c>
      <c r="AS38" s="78"/>
      <c r="AT38" s="78"/>
      <c r="AU38" s="78"/>
      <c r="AV38" s="78"/>
      <c r="AW38" s="78"/>
      <c r="AX38" s="78"/>
      <c r="AY38" s="67"/>
    </row>
    <row r="39" spans="2:51" ht="16" thickBot="1">
      <c r="C39" s="14"/>
      <c r="D39" s="14"/>
      <c r="E39" s="14"/>
      <c r="F39" s="14"/>
      <c r="G39" s="14"/>
      <c r="H39" s="14"/>
      <c r="I39" s="14"/>
      <c r="J39" s="13"/>
      <c r="K39" s="13"/>
      <c r="L39" s="13"/>
      <c r="M39" s="13"/>
      <c r="N39" s="14"/>
      <c r="O39" s="14"/>
      <c r="P39" s="14"/>
      <c r="Q39" s="14"/>
      <c r="R39" s="14"/>
      <c r="S39" s="14"/>
      <c r="T39" s="14"/>
      <c r="U39" s="14"/>
      <c r="V39" s="14"/>
      <c r="W39" s="14"/>
      <c r="X39" s="14"/>
      <c r="Y39" s="14"/>
      <c r="Z39" s="14"/>
      <c r="AA39" s="14"/>
      <c r="AB39" s="14"/>
      <c r="AC39" s="14"/>
      <c r="AD39" s="14"/>
      <c r="AE39" s="14"/>
      <c r="AF39" s="14"/>
      <c r="AG39" s="14"/>
      <c r="AH39" s="82">
        <f>IF(AH36&gt;0,(((I42-0.19)/0.095)-((B18-0.19)/0.095))/(((AH36-0.19)/0.095)-((B18-0.19)/0.095)),0)</f>
        <v>1</v>
      </c>
      <c r="AI39" s="83">
        <f>IF((AK39+AM39+AN39*2+AO39*2+AP39)&gt;0,((AK39+AM39+AN39*2+AO39*2+AP39)*0.095+ 0.19),0)</f>
        <v>2.09</v>
      </c>
      <c r="AJ39" s="84">
        <f t="shared" ref="AJ39:AR39" si="1">IF(C36*$AH$39&gt;D18,C36*$AH$39,D18)</f>
        <v>14</v>
      </c>
      <c r="AK39" s="84">
        <f t="shared" si="1"/>
        <v>1</v>
      </c>
      <c r="AL39" s="84">
        <f t="shared" si="1"/>
        <v>1</v>
      </c>
      <c r="AM39" s="84">
        <f t="shared" si="1"/>
        <v>8</v>
      </c>
      <c r="AN39" s="84">
        <f t="shared" si="1"/>
        <v>4</v>
      </c>
      <c r="AO39" s="84">
        <f t="shared" si="1"/>
        <v>1.5</v>
      </c>
      <c r="AP39" s="84">
        <f t="shared" si="1"/>
        <v>0</v>
      </c>
      <c r="AQ39" s="84">
        <f t="shared" si="1"/>
        <v>2.5</v>
      </c>
      <c r="AR39" s="84">
        <f t="shared" si="1"/>
        <v>0</v>
      </c>
      <c r="AS39" s="65"/>
      <c r="AT39" s="65"/>
      <c r="AU39" s="65"/>
      <c r="AV39" s="65"/>
      <c r="AW39" s="65"/>
      <c r="AX39" s="65"/>
      <c r="AY39" s="67"/>
    </row>
    <row r="40" spans="2:51" ht="18">
      <c r="B40" s="85" t="s">
        <v>179</v>
      </c>
      <c r="C40" s="86"/>
      <c r="D40" s="87"/>
      <c r="E40" s="85" t="s">
        <v>178</v>
      </c>
      <c r="F40" s="88"/>
      <c r="G40" s="89" t="s">
        <v>54</v>
      </c>
      <c r="H40" s="14"/>
      <c r="I40" s="85" t="s">
        <v>187</v>
      </c>
      <c r="J40" s="90"/>
      <c r="K40" s="90"/>
      <c r="L40" s="91"/>
      <c r="M40" s="92" t="s">
        <v>54</v>
      </c>
      <c r="N40" s="88"/>
      <c r="O40" s="88"/>
      <c r="P40" s="88"/>
      <c r="Q40" s="93"/>
      <c r="R40" s="14"/>
      <c r="S40" s="19"/>
      <c r="T40" s="19"/>
      <c r="U40" s="19"/>
      <c r="V40" s="19"/>
      <c r="W40" s="19"/>
      <c r="X40" s="19"/>
      <c r="Y40" s="19"/>
      <c r="Z40" s="19"/>
      <c r="AA40" s="19"/>
      <c r="AB40" s="19"/>
      <c r="AC40" s="19"/>
      <c r="AD40" s="19"/>
      <c r="AE40" s="19"/>
      <c r="AF40" s="19"/>
      <c r="AG40" s="14"/>
      <c r="AH40" s="94">
        <f>IF(AI39-I$42&gt;0.1,AH39-0.1,IF(I$42-AI39&gt;0.1,AH39+0.1,AH39))</f>
        <v>1</v>
      </c>
      <c r="AI40" s="83">
        <f t="shared" ref="AI40:AI48" si="2">IF((AK40+AM40+AN40*2+AO40*2+AP40)&gt;0,((AK40+AM40+AN40*2+AO40*2+AP40)*0.095+ 0.19),0)</f>
        <v>2.09</v>
      </c>
      <c r="AJ40" s="84">
        <f t="shared" ref="AJ40:AR40" si="3">IF(C36*$AH$40&gt;D18,C36*$AH$40,D18)</f>
        <v>14</v>
      </c>
      <c r="AK40" s="84">
        <f t="shared" si="3"/>
        <v>1</v>
      </c>
      <c r="AL40" s="84">
        <f t="shared" si="3"/>
        <v>1</v>
      </c>
      <c r="AM40" s="84">
        <f t="shared" si="3"/>
        <v>8</v>
      </c>
      <c r="AN40" s="84">
        <f t="shared" si="3"/>
        <v>4</v>
      </c>
      <c r="AO40" s="84">
        <f t="shared" si="3"/>
        <v>1.5</v>
      </c>
      <c r="AP40" s="84">
        <f t="shared" si="3"/>
        <v>0</v>
      </c>
      <c r="AQ40" s="84">
        <f t="shared" si="3"/>
        <v>2.5</v>
      </c>
      <c r="AR40" s="84">
        <f t="shared" si="3"/>
        <v>0</v>
      </c>
      <c r="AS40" s="95"/>
      <c r="AT40" s="95"/>
      <c r="AU40" s="95"/>
      <c r="AV40" s="95"/>
      <c r="AW40" s="95"/>
      <c r="AX40" s="95"/>
      <c r="AY40" s="67"/>
    </row>
    <row r="41" spans="2:51" ht="23.25" customHeight="1">
      <c r="B41" s="96"/>
      <c r="C41" s="38"/>
      <c r="E41" s="97" t="s">
        <v>74</v>
      </c>
      <c r="F41" s="98"/>
      <c r="G41" s="99"/>
      <c r="H41" s="14"/>
      <c r="I41" s="100"/>
      <c r="J41" s="19"/>
      <c r="K41" s="19"/>
      <c r="L41" s="19"/>
      <c r="M41" s="19"/>
      <c r="N41" s="98"/>
      <c r="O41" s="98"/>
      <c r="P41" s="98"/>
      <c r="Q41" s="101"/>
      <c r="R41" s="98"/>
      <c r="S41" s="19"/>
      <c r="T41" s="19"/>
      <c r="U41" s="19"/>
      <c r="V41" s="19"/>
      <c r="W41" s="19"/>
      <c r="X41" s="19"/>
      <c r="Y41" s="19"/>
      <c r="Z41" s="19"/>
      <c r="AA41" s="19"/>
      <c r="AB41" s="19"/>
      <c r="AC41" s="19"/>
      <c r="AD41" s="19"/>
      <c r="AE41" s="19"/>
      <c r="AF41" s="19"/>
      <c r="AG41" s="14"/>
      <c r="AH41" s="94">
        <f>IF(AI40-I$42&gt;0.1,AH40-0.1,IF(I$42-AI40&gt;0.1,AH40+0.1,AH40))</f>
        <v>1</v>
      </c>
      <c r="AI41" s="83">
        <f t="shared" si="2"/>
        <v>2.09</v>
      </c>
      <c r="AJ41" s="84">
        <f t="shared" ref="AJ41:AR41" si="4">IF(C36*$AH$41&gt;D18,C36*$AH$41,D18)</f>
        <v>14</v>
      </c>
      <c r="AK41" s="84">
        <f t="shared" si="4"/>
        <v>1</v>
      </c>
      <c r="AL41" s="84">
        <f t="shared" si="4"/>
        <v>1</v>
      </c>
      <c r="AM41" s="84">
        <f t="shared" si="4"/>
        <v>8</v>
      </c>
      <c r="AN41" s="84">
        <f t="shared" si="4"/>
        <v>4</v>
      </c>
      <c r="AO41" s="84">
        <f t="shared" si="4"/>
        <v>1.5</v>
      </c>
      <c r="AP41" s="84">
        <f t="shared" si="4"/>
        <v>0</v>
      </c>
      <c r="AQ41" s="84">
        <f t="shared" si="4"/>
        <v>2.5</v>
      </c>
      <c r="AR41" s="84">
        <f t="shared" si="4"/>
        <v>0</v>
      </c>
      <c r="AS41" s="65"/>
      <c r="AT41" s="65"/>
      <c r="AU41" s="65"/>
      <c r="AV41" s="65"/>
      <c r="AW41" s="65"/>
      <c r="AX41" s="65"/>
      <c r="AY41" s="67"/>
    </row>
    <row r="42" spans="2:51" ht="18">
      <c r="B42" s="102">
        <v>5.7</v>
      </c>
      <c r="C42" s="99"/>
      <c r="D42" s="14"/>
      <c r="E42" s="103"/>
      <c r="F42" s="104">
        <f>AH36</f>
        <v>2.09</v>
      </c>
      <c r="G42" s="38"/>
      <c r="H42" s="14"/>
      <c r="I42" s="105">
        <f>F42</f>
        <v>2.09</v>
      </c>
      <c r="J42" s="106" t="str">
        <f>IF(I42&lt;B18+0.5,"VALORE DI EC SIMILE ALL'ACQUA IRRIGUA!",IF(I42&gt;B18+2.8,"VALORE DI EC TROPPO ELEVATO","OK"))</f>
        <v>OK</v>
      </c>
      <c r="K42" s="107"/>
      <c r="L42" s="107"/>
      <c r="M42" s="107"/>
      <c r="N42" s="107"/>
      <c r="O42" s="107"/>
      <c r="P42" s="107"/>
      <c r="Q42" s="108"/>
      <c r="S42" s="98"/>
      <c r="T42" s="98"/>
      <c r="U42" s="98"/>
      <c r="V42" s="98"/>
      <c r="W42" s="98"/>
      <c r="X42" s="98"/>
      <c r="Y42" s="98"/>
      <c r="Z42" s="98"/>
      <c r="AA42" s="98"/>
      <c r="AB42" s="98"/>
      <c r="AC42" s="98"/>
      <c r="AD42" s="98"/>
      <c r="AE42" s="98"/>
      <c r="AF42" s="98"/>
      <c r="AG42" s="14"/>
      <c r="AH42" s="94">
        <f>IF(AI41-I$42&gt;0.1,AH41-0.1,IF(I$42-AI41&gt;0.1,AH41+0.1,AH41))</f>
        <v>1</v>
      </c>
      <c r="AI42" s="83">
        <f t="shared" si="2"/>
        <v>2.09</v>
      </c>
      <c r="AJ42" s="84">
        <f t="shared" ref="AJ42:AR42" si="5">IF(C36*$AH$42&gt;D18,C36*$AH$42,D18)</f>
        <v>14</v>
      </c>
      <c r="AK42" s="84">
        <f t="shared" si="5"/>
        <v>1</v>
      </c>
      <c r="AL42" s="84">
        <f t="shared" si="5"/>
        <v>1</v>
      </c>
      <c r="AM42" s="84">
        <f t="shared" si="5"/>
        <v>8</v>
      </c>
      <c r="AN42" s="84">
        <f t="shared" si="5"/>
        <v>4</v>
      </c>
      <c r="AO42" s="84">
        <f t="shared" si="5"/>
        <v>1.5</v>
      </c>
      <c r="AP42" s="84">
        <f t="shared" si="5"/>
        <v>0</v>
      </c>
      <c r="AQ42" s="84">
        <f t="shared" si="5"/>
        <v>2.5</v>
      </c>
      <c r="AR42" s="84">
        <f t="shared" si="5"/>
        <v>0</v>
      </c>
      <c r="AS42" s="65"/>
      <c r="AT42" s="65"/>
      <c r="AU42" s="65"/>
      <c r="AV42" s="65"/>
      <c r="AW42" s="65"/>
      <c r="AX42" s="65"/>
      <c r="AY42" s="67"/>
    </row>
    <row r="43" spans="2:51" ht="16" thickBot="1">
      <c r="B43" s="109"/>
      <c r="C43" s="110"/>
      <c r="D43" s="22"/>
      <c r="E43" s="109"/>
      <c r="F43" s="111"/>
      <c r="G43" s="110"/>
      <c r="H43" s="14"/>
      <c r="I43" s="112"/>
      <c r="J43" s="113"/>
      <c r="K43" s="113"/>
      <c r="L43" s="113"/>
      <c r="M43" s="113"/>
      <c r="N43" s="114"/>
      <c r="O43" s="113"/>
      <c r="P43" s="115"/>
      <c r="Q43" s="116"/>
      <c r="R43" s="98"/>
      <c r="S43" s="98"/>
      <c r="T43" s="98"/>
      <c r="U43" s="98"/>
      <c r="V43" s="98"/>
      <c r="W43" s="98"/>
      <c r="X43" s="98"/>
      <c r="Y43" s="98"/>
      <c r="Z43" s="98"/>
      <c r="AA43" s="98"/>
      <c r="AB43" s="98"/>
      <c r="AC43" s="98"/>
      <c r="AD43" s="98"/>
      <c r="AE43" s="98"/>
      <c r="AF43" s="98"/>
      <c r="AG43" s="14"/>
      <c r="AH43" s="94">
        <f>IF(AI42-I$42&gt;0.05,AH42-0.05,IF(I$42-AI42&gt;0.05,AH42+0.05,AH42))</f>
        <v>1</v>
      </c>
      <c r="AI43" s="83">
        <f t="shared" si="2"/>
        <v>2.09</v>
      </c>
      <c r="AJ43" s="84">
        <f t="shared" ref="AJ43:AR43" si="6">IF(C36*$AH$43&gt;D18,C36*$AH$43,D18)</f>
        <v>14</v>
      </c>
      <c r="AK43" s="84">
        <f t="shared" si="6"/>
        <v>1</v>
      </c>
      <c r="AL43" s="84">
        <f t="shared" si="6"/>
        <v>1</v>
      </c>
      <c r="AM43" s="84">
        <f t="shared" si="6"/>
        <v>8</v>
      </c>
      <c r="AN43" s="84">
        <f t="shared" si="6"/>
        <v>4</v>
      </c>
      <c r="AO43" s="84">
        <f t="shared" si="6"/>
        <v>1.5</v>
      </c>
      <c r="AP43" s="84">
        <f t="shared" si="6"/>
        <v>0</v>
      </c>
      <c r="AQ43" s="84">
        <f t="shared" si="6"/>
        <v>2.5</v>
      </c>
      <c r="AR43" s="84">
        <f t="shared" si="6"/>
        <v>0</v>
      </c>
      <c r="AS43" s="65"/>
      <c r="AT43" s="65"/>
      <c r="AU43" s="65"/>
      <c r="AV43" s="65"/>
      <c r="AW43" s="65"/>
      <c r="AX43" s="65"/>
      <c r="AY43" s="67"/>
    </row>
    <row r="44" spans="2:51" ht="15.5">
      <c r="B44" s="22"/>
      <c r="C44" s="22"/>
      <c r="D44" s="22"/>
      <c r="E44" s="22"/>
      <c r="F44" s="22"/>
      <c r="G44" s="22"/>
      <c r="H44" s="14"/>
      <c r="I44" s="14"/>
      <c r="J44" s="13"/>
      <c r="K44" s="13"/>
      <c r="L44" s="13"/>
      <c r="M44" s="13"/>
      <c r="N44" s="13"/>
      <c r="O44" s="13"/>
      <c r="P44" s="13"/>
      <c r="Q44" s="13"/>
      <c r="R44" s="13"/>
      <c r="T44" s="13"/>
      <c r="U44" s="13"/>
      <c r="V44" s="13"/>
      <c r="W44" s="13"/>
      <c r="X44" s="13"/>
      <c r="Y44" s="13"/>
      <c r="Z44" s="13"/>
      <c r="AA44" s="13"/>
      <c r="AB44" s="13"/>
      <c r="AC44" s="13"/>
      <c r="AD44" s="13"/>
      <c r="AE44" s="13"/>
      <c r="AF44" s="13"/>
      <c r="AH44" s="94">
        <f>IF(AI43-I$42&gt;0.05,AH43-0.05,IF(I$42-AI43&gt;0.05,AH43+0.05,AH43))</f>
        <v>1</v>
      </c>
      <c r="AI44" s="83">
        <f t="shared" si="2"/>
        <v>2.09</v>
      </c>
      <c r="AJ44" s="84">
        <f t="shared" ref="AJ44:AR44" si="7">IF(C36*$AH$44&gt;D18,C36*$AH$44,D18)</f>
        <v>14</v>
      </c>
      <c r="AK44" s="84">
        <f t="shared" si="7"/>
        <v>1</v>
      </c>
      <c r="AL44" s="84">
        <f t="shared" si="7"/>
        <v>1</v>
      </c>
      <c r="AM44" s="84">
        <f t="shared" si="7"/>
        <v>8</v>
      </c>
      <c r="AN44" s="84">
        <f t="shared" si="7"/>
        <v>4</v>
      </c>
      <c r="AO44" s="84">
        <f t="shared" si="7"/>
        <v>1.5</v>
      </c>
      <c r="AP44" s="84">
        <f t="shared" si="7"/>
        <v>0</v>
      </c>
      <c r="AQ44" s="84">
        <f t="shared" si="7"/>
        <v>2.5</v>
      </c>
      <c r="AR44" s="84">
        <f t="shared" si="7"/>
        <v>0</v>
      </c>
      <c r="AS44" s="65"/>
      <c r="AT44" s="65"/>
      <c r="AU44" s="65"/>
      <c r="AV44" s="65"/>
      <c r="AW44" s="65"/>
      <c r="AX44" s="65"/>
      <c r="AY44" s="67"/>
    </row>
    <row r="45" spans="2:51" ht="15.5">
      <c r="B45" s="45" t="s">
        <v>188</v>
      </c>
      <c r="C45" s="22"/>
      <c r="D45" s="22"/>
      <c r="E45" s="22"/>
      <c r="F45" s="22"/>
      <c r="G45" s="22"/>
      <c r="H45" s="15"/>
      <c r="J45" s="22"/>
      <c r="K45" s="14"/>
      <c r="L45" s="14"/>
      <c r="M45" s="14"/>
      <c r="N45" s="117"/>
      <c r="O45" s="98"/>
      <c r="P45" s="98"/>
      <c r="Q45" s="98"/>
      <c r="R45" s="98"/>
      <c r="S45" s="98"/>
      <c r="T45" s="98"/>
      <c r="U45" s="98"/>
      <c r="V45" s="98"/>
      <c r="W45" s="98"/>
      <c r="X45" s="98"/>
      <c r="Y45" s="98"/>
      <c r="Z45" s="98"/>
      <c r="AA45" s="98"/>
      <c r="AB45" s="98"/>
      <c r="AC45" s="98"/>
      <c r="AD45" s="98"/>
      <c r="AE45" s="98"/>
      <c r="AF45" s="98"/>
      <c r="AG45" s="14"/>
      <c r="AH45" s="94">
        <f>IF(AI44-I$42&gt;0.02,AH44-0.02,IF(I$42-AI44&gt;0.02,AH44+0.02,AH44))</f>
        <v>1</v>
      </c>
      <c r="AI45" s="83">
        <f t="shared" si="2"/>
        <v>2.09</v>
      </c>
      <c r="AJ45" s="84">
        <f t="shared" ref="AJ45:AR45" si="8">IF(C36*$AH$45&gt;D18,C36*$AH$45,D18)</f>
        <v>14</v>
      </c>
      <c r="AK45" s="84">
        <f t="shared" si="8"/>
        <v>1</v>
      </c>
      <c r="AL45" s="84">
        <f t="shared" si="8"/>
        <v>1</v>
      </c>
      <c r="AM45" s="84">
        <f t="shared" si="8"/>
        <v>8</v>
      </c>
      <c r="AN45" s="84">
        <f t="shared" si="8"/>
        <v>4</v>
      </c>
      <c r="AO45" s="84">
        <f t="shared" si="8"/>
        <v>1.5</v>
      </c>
      <c r="AP45" s="84">
        <f t="shared" si="8"/>
        <v>0</v>
      </c>
      <c r="AQ45" s="84">
        <f t="shared" si="8"/>
        <v>2.5</v>
      </c>
      <c r="AR45" s="84">
        <f t="shared" si="8"/>
        <v>0</v>
      </c>
      <c r="AS45" s="65"/>
      <c r="AT45" s="65"/>
      <c r="AU45" s="65"/>
      <c r="AV45" s="65"/>
      <c r="AW45" s="65"/>
      <c r="AX45" s="65"/>
      <c r="AY45" s="67"/>
    </row>
    <row r="46" spans="2:51" ht="15.5">
      <c r="B46" s="22"/>
      <c r="C46" s="22"/>
      <c r="D46" s="22"/>
      <c r="E46" s="22"/>
      <c r="F46" s="22"/>
      <c r="G46" s="22"/>
      <c r="H46" s="48"/>
      <c r="I46" s="22"/>
      <c r="J46" s="22"/>
      <c r="K46" s="14"/>
      <c r="L46" s="14"/>
      <c r="M46" s="14"/>
      <c r="N46" s="117"/>
      <c r="O46" s="98"/>
      <c r="P46" s="98"/>
      <c r="Q46" s="98"/>
      <c r="R46" s="98"/>
      <c r="S46" s="98"/>
      <c r="T46" s="98"/>
      <c r="U46" s="98"/>
      <c r="V46" s="98"/>
      <c r="W46" s="98"/>
      <c r="X46" s="98"/>
      <c r="Y46" s="98"/>
      <c r="Z46" s="98"/>
      <c r="AA46" s="98"/>
      <c r="AB46" s="98"/>
      <c r="AC46" s="98"/>
      <c r="AD46" s="98"/>
      <c r="AE46" s="98"/>
      <c r="AF46" s="98"/>
      <c r="AG46" s="14"/>
      <c r="AH46" s="94">
        <f>IF(AI45-I$42&gt;0.01,AH45-0.01,IF(I$42-AI45&gt;0.01,AH45+0.01,AH45))</f>
        <v>1</v>
      </c>
      <c r="AI46" s="83">
        <f t="shared" si="2"/>
        <v>2.09</v>
      </c>
      <c r="AJ46" s="84">
        <f t="shared" ref="AJ46:AR46" si="9">IF(C36*$AH$46&gt;D18,C36*$AH$46,D18)</f>
        <v>14</v>
      </c>
      <c r="AK46" s="84">
        <f t="shared" si="9"/>
        <v>1</v>
      </c>
      <c r="AL46" s="84">
        <f t="shared" si="9"/>
        <v>1</v>
      </c>
      <c r="AM46" s="84">
        <f t="shared" si="9"/>
        <v>8</v>
      </c>
      <c r="AN46" s="84">
        <f t="shared" si="9"/>
        <v>4</v>
      </c>
      <c r="AO46" s="84">
        <f t="shared" si="9"/>
        <v>1.5</v>
      </c>
      <c r="AP46" s="84">
        <f t="shared" si="9"/>
        <v>0</v>
      </c>
      <c r="AQ46" s="84">
        <f t="shared" si="9"/>
        <v>2.5</v>
      </c>
      <c r="AR46" s="84">
        <f t="shared" si="9"/>
        <v>0</v>
      </c>
      <c r="AS46" s="65"/>
      <c r="AT46" s="65"/>
      <c r="AU46" s="65"/>
      <c r="AV46" s="65"/>
      <c r="AW46" s="65"/>
      <c r="AX46" s="65"/>
      <c r="AY46" s="67"/>
    </row>
    <row r="47" spans="2:51" ht="17.5">
      <c r="B47" s="23" t="s">
        <v>74</v>
      </c>
      <c r="C47" s="23" t="s">
        <v>174</v>
      </c>
      <c r="D47" s="23" t="s">
        <v>175</v>
      </c>
      <c r="E47" s="23" t="s">
        <v>176</v>
      </c>
      <c r="F47" s="23" t="s">
        <v>7</v>
      </c>
      <c r="G47" s="23" t="s">
        <v>8</v>
      </c>
      <c r="H47" s="23" t="s">
        <v>9</v>
      </c>
      <c r="I47" s="23" t="s">
        <v>10</v>
      </c>
      <c r="J47" s="23" t="s">
        <v>177</v>
      </c>
      <c r="K47" s="23" t="s">
        <v>12</v>
      </c>
      <c r="L47" s="23" t="s">
        <v>13</v>
      </c>
      <c r="M47" s="23" t="s">
        <v>14</v>
      </c>
      <c r="N47" s="23" t="s">
        <v>15</v>
      </c>
      <c r="O47" s="23" t="s">
        <v>16</v>
      </c>
      <c r="P47" s="23" t="s">
        <v>17</v>
      </c>
      <c r="Q47" s="23" t="s">
        <v>18</v>
      </c>
      <c r="R47" s="14"/>
      <c r="S47" s="14"/>
      <c r="T47" s="14"/>
      <c r="U47" s="14"/>
      <c r="V47" s="14"/>
      <c r="W47" s="14"/>
      <c r="X47" s="14"/>
      <c r="Y47" s="14"/>
      <c r="Z47" s="14"/>
      <c r="AA47" s="14"/>
      <c r="AB47" s="14"/>
      <c r="AC47" s="14"/>
      <c r="AD47" s="14"/>
      <c r="AE47" s="14"/>
      <c r="AF47" s="14"/>
      <c r="AG47" s="14"/>
      <c r="AH47" s="94">
        <f>IF(AI46-I$42&gt;0.01,AH46-0.01,IF(I$42-AI46&gt;0.01,AH46+0.01,AH46))</f>
        <v>1</v>
      </c>
      <c r="AI47" s="83">
        <f t="shared" si="2"/>
        <v>2.09</v>
      </c>
      <c r="AJ47" s="84">
        <f t="shared" ref="AJ47:AR47" si="10">IF(C36*$AH$47&gt;D18,C36*$AH$47,D18)</f>
        <v>14</v>
      </c>
      <c r="AK47" s="84">
        <f t="shared" si="10"/>
        <v>1</v>
      </c>
      <c r="AL47" s="84">
        <f t="shared" si="10"/>
        <v>1</v>
      </c>
      <c r="AM47" s="84">
        <f t="shared" si="10"/>
        <v>8</v>
      </c>
      <c r="AN47" s="84">
        <f t="shared" si="10"/>
        <v>4</v>
      </c>
      <c r="AO47" s="84">
        <f t="shared" si="10"/>
        <v>1.5</v>
      </c>
      <c r="AP47" s="84">
        <f t="shared" si="10"/>
        <v>0</v>
      </c>
      <c r="AQ47" s="84">
        <f t="shared" si="10"/>
        <v>2.5</v>
      </c>
      <c r="AR47" s="84">
        <f t="shared" si="10"/>
        <v>0</v>
      </c>
      <c r="AS47" s="65"/>
      <c r="AT47" s="65"/>
      <c r="AU47" s="65"/>
      <c r="AV47" s="65"/>
      <c r="AW47" s="65"/>
      <c r="AX47" s="65"/>
      <c r="AY47" s="67"/>
    </row>
    <row r="48" spans="2:51" ht="19.5" customHeight="1">
      <c r="B48" s="25">
        <f>IF(SUM(D48,G48,H48,I48)&gt;0,(D48+F48+G48*2+H48*2+I48)*0.095+0.19,0)</f>
        <v>2.09</v>
      </c>
      <c r="C48" s="70">
        <f>AJ48</f>
        <v>14</v>
      </c>
      <c r="D48" s="70">
        <f t="shared" ref="D48:K48" si="11">AK48</f>
        <v>1</v>
      </c>
      <c r="E48" s="70">
        <f t="shared" si="11"/>
        <v>1</v>
      </c>
      <c r="F48" s="70">
        <f t="shared" si="11"/>
        <v>8</v>
      </c>
      <c r="G48" s="70">
        <f t="shared" si="11"/>
        <v>4</v>
      </c>
      <c r="H48" s="70">
        <f t="shared" si="11"/>
        <v>1.5</v>
      </c>
      <c r="I48" s="70">
        <f t="shared" si="11"/>
        <v>0</v>
      </c>
      <c r="J48" s="70">
        <f t="shared" si="11"/>
        <v>2.5</v>
      </c>
      <c r="K48" s="70">
        <f t="shared" si="11"/>
        <v>0</v>
      </c>
      <c r="L48" s="70">
        <f t="shared" ref="L48:Q48" si="12">IF(M18&gt;L36,M18,L36)</f>
        <v>15</v>
      </c>
      <c r="M48" s="70">
        <f t="shared" si="12"/>
        <v>20</v>
      </c>
      <c r="N48" s="70">
        <f t="shared" si="12"/>
        <v>1</v>
      </c>
      <c r="O48" s="70">
        <f t="shared" si="12"/>
        <v>5</v>
      </c>
      <c r="P48" s="118">
        <f t="shared" si="12"/>
        <v>10</v>
      </c>
      <c r="Q48" s="70">
        <f t="shared" si="12"/>
        <v>1</v>
      </c>
      <c r="R48" s="48"/>
      <c r="S48" s="14"/>
      <c r="T48" s="14"/>
      <c r="U48" s="14"/>
      <c r="V48" s="14"/>
      <c r="W48" s="14"/>
      <c r="X48" s="14"/>
      <c r="Y48" s="14"/>
      <c r="Z48" s="14"/>
      <c r="AA48" s="14"/>
      <c r="AB48" s="14"/>
      <c r="AC48" s="14"/>
      <c r="AD48" s="14"/>
      <c r="AE48" s="14"/>
      <c r="AF48" s="14"/>
      <c r="AG48" s="14"/>
      <c r="AH48" s="94">
        <f>IF(AI47-I$42&gt;0.01,AH47-0.01,IF(I$42-AI47&gt;0.01,AH47+0.01,AH47))</f>
        <v>1</v>
      </c>
      <c r="AI48" s="83">
        <f t="shared" si="2"/>
        <v>2.09</v>
      </c>
      <c r="AJ48" s="84">
        <f t="shared" ref="AJ48:AR48" si="13">IF(C36*$AH$48&gt;D18,C36*$AH$48,D18)</f>
        <v>14</v>
      </c>
      <c r="AK48" s="84">
        <f t="shared" si="13"/>
        <v>1</v>
      </c>
      <c r="AL48" s="84">
        <f t="shared" si="13"/>
        <v>1</v>
      </c>
      <c r="AM48" s="84">
        <f t="shared" si="13"/>
        <v>8</v>
      </c>
      <c r="AN48" s="84">
        <f t="shared" si="13"/>
        <v>4</v>
      </c>
      <c r="AO48" s="84">
        <f t="shared" si="13"/>
        <v>1.5</v>
      </c>
      <c r="AP48" s="84">
        <f t="shared" si="13"/>
        <v>0</v>
      </c>
      <c r="AQ48" s="84">
        <f t="shared" si="13"/>
        <v>2.5</v>
      </c>
      <c r="AR48" s="84">
        <f t="shared" si="13"/>
        <v>0</v>
      </c>
      <c r="AS48" s="65"/>
      <c r="AT48" s="65"/>
      <c r="AU48" s="65"/>
      <c r="AV48" s="65"/>
      <c r="AW48" s="65"/>
      <c r="AX48" s="65"/>
      <c r="AY48" s="67"/>
    </row>
    <row r="49" spans="2:51" ht="19.5" customHeight="1">
      <c r="B49" s="119"/>
      <c r="C49" s="496" t="s">
        <v>70</v>
      </c>
      <c r="D49" s="497"/>
      <c r="E49" s="497"/>
      <c r="F49" s="497"/>
      <c r="G49" s="497"/>
      <c r="H49" s="497"/>
      <c r="I49" s="497"/>
      <c r="J49" s="497"/>
      <c r="K49" s="498"/>
      <c r="L49" s="499" t="s">
        <v>70</v>
      </c>
      <c r="M49" s="500"/>
      <c r="N49" s="500"/>
      <c r="O49" s="500"/>
      <c r="P49" s="500"/>
      <c r="Q49" s="501"/>
      <c r="R49" s="48"/>
      <c r="S49" s="14"/>
      <c r="T49" s="14"/>
      <c r="U49" s="14"/>
      <c r="V49" s="14"/>
      <c r="W49" s="14"/>
      <c r="X49" s="14"/>
      <c r="Y49" s="14"/>
      <c r="Z49" s="14"/>
      <c r="AA49" s="14"/>
      <c r="AB49" s="14"/>
      <c r="AC49" s="14"/>
      <c r="AD49" s="14"/>
      <c r="AE49" s="14"/>
      <c r="AF49" s="14"/>
      <c r="AG49" s="14"/>
      <c r="AH49" s="94"/>
      <c r="AI49" s="73"/>
      <c r="AJ49" s="120"/>
      <c r="AK49" s="120"/>
      <c r="AL49" s="120"/>
      <c r="AM49" s="120"/>
      <c r="AN49" s="120"/>
      <c r="AO49" s="120"/>
      <c r="AP49" s="120"/>
      <c r="AQ49" s="120"/>
      <c r="AR49" s="120"/>
      <c r="AS49" s="65"/>
      <c r="AT49" s="65"/>
      <c r="AU49" s="65"/>
      <c r="AV49" s="65"/>
      <c r="AW49" s="65"/>
      <c r="AX49" s="65"/>
      <c r="AY49" s="67"/>
    </row>
    <row r="50" spans="2:51" ht="16.5" customHeight="1">
      <c r="B50" s="121" t="s">
        <v>54</v>
      </c>
      <c r="C50" s="71">
        <f>C48*14.007</f>
        <v>196.09799999999998</v>
      </c>
      <c r="D50" s="71">
        <f>D48*14.007</f>
        <v>14.007</v>
      </c>
      <c r="E50" s="71">
        <f>E48*30.974</f>
        <v>30.974</v>
      </c>
      <c r="F50" s="71">
        <f>F48*39.1</f>
        <v>312.8</v>
      </c>
      <c r="G50" s="71">
        <f>G48*40.08</f>
        <v>160.32</v>
      </c>
      <c r="H50" s="71">
        <f>H48*24.312</f>
        <v>36.468000000000004</v>
      </c>
      <c r="I50" s="71">
        <f>I48*22.9898</f>
        <v>0</v>
      </c>
      <c r="J50" s="71">
        <f>J48*32.066</f>
        <v>80.165000000000006</v>
      </c>
      <c r="K50" s="71">
        <f>K48*35.453</f>
        <v>0</v>
      </c>
      <c r="L50" s="70">
        <f>L48*55.85/1000</f>
        <v>0.83774999999999999</v>
      </c>
      <c r="M50" s="70">
        <f>M48*10.8/1000</f>
        <v>0.216</v>
      </c>
      <c r="N50" s="70">
        <f>N48*63.55/1000</f>
        <v>6.3549999999999995E-2</v>
      </c>
      <c r="O50" s="70">
        <f>O48*65.38/1000</f>
        <v>0.32689999999999997</v>
      </c>
      <c r="P50" s="122">
        <f>P48*54.94/1000</f>
        <v>0.5494</v>
      </c>
      <c r="Q50" s="70">
        <f>Q48*95.95/1000</f>
        <v>9.5950000000000008E-2</v>
      </c>
      <c r="R50" s="14"/>
      <c r="S50" s="14"/>
      <c r="T50" s="14"/>
      <c r="U50" s="14"/>
      <c r="V50" s="14"/>
      <c r="W50" s="14"/>
      <c r="X50" s="14"/>
      <c r="Y50" s="14"/>
      <c r="Z50" s="14"/>
      <c r="AA50" s="14"/>
      <c r="AB50" s="14"/>
      <c r="AC50" s="14"/>
      <c r="AD50" s="14"/>
      <c r="AE50" s="14"/>
      <c r="AF50" s="14"/>
      <c r="AG50" s="14"/>
      <c r="AH50" s="94"/>
      <c r="AI50" s="73"/>
      <c r="AJ50" s="120"/>
      <c r="AK50" s="120"/>
      <c r="AL50" s="120"/>
      <c r="AM50" s="120"/>
      <c r="AN50" s="120"/>
      <c r="AO50" s="120"/>
      <c r="AP50" s="120"/>
      <c r="AQ50" s="120"/>
      <c r="AR50" s="120"/>
      <c r="AS50" s="65"/>
      <c r="AT50" s="65"/>
      <c r="AU50" s="65"/>
      <c r="AV50" s="65"/>
      <c r="AW50" s="65"/>
      <c r="AX50" s="65"/>
      <c r="AY50" s="67"/>
    </row>
    <row r="51" spans="2:51" ht="16.5" customHeight="1">
      <c r="B51" s="48"/>
      <c r="C51" s="123"/>
      <c r="D51" s="15"/>
      <c r="E51" s="123"/>
      <c r="F51" s="123"/>
      <c r="G51" s="123"/>
      <c r="H51" s="123"/>
      <c r="I51" s="123"/>
      <c r="J51" s="123"/>
      <c r="K51" s="123"/>
      <c r="L51" s="124"/>
      <c r="M51" s="124"/>
      <c r="N51" s="124"/>
      <c r="O51" s="124"/>
      <c r="P51" s="124"/>
      <c r="Q51" s="124"/>
      <c r="R51" s="14"/>
      <c r="S51" s="14"/>
      <c r="T51" s="14"/>
      <c r="U51" s="14"/>
      <c r="V51" s="14"/>
      <c r="W51" s="14"/>
      <c r="X51" s="14"/>
      <c r="Y51" s="14"/>
      <c r="Z51" s="14"/>
      <c r="AA51" s="14"/>
      <c r="AB51" s="14"/>
      <c r="AC51" s="14"/>
      <c r="AD51" s="14"/>
      <c r="AE51" s="14"/>
      <c r="AF51" s="14"/>
      <c r="AG51" s="14"/>
      <c r="AH51" s="94"/>
      <c r="AI51" s="73"/>
      <c r="AJ51" s="120"/>
      <c r="AK51" s="120"/>
      <c r="AL51" s="120"/>
      <c r="AM51" s="120"/>
      <c r="AN51" s="120"/>
      <c r="AO51" s="120"/>
      <c r="AP51" s="120"/>
      <c r="AQ51" s="120"/>
      <c r="AR51" s="120"/>
      <c r="AS51" s="67"/>
      <c r="AT51" s="67"/>
      <c r="AU51" s="67"/>
      <c r="AV51" s="67"/>
      <c r="AW51" s="67"/>
      <c r="AX51" s="67"/>
      <c r="AY51" s="67"/>
    </row>
    <row r="52" spans="2:51" ht="21.75" customHeight="1">
      <c r="B52" s="493" t="s">
        <v>153</v>
      </c>
      <c r="C52" s="502"/>
      <c r="D52" s="502"/>
      <c r="E52" s="502"/>
      <c r="F52" s="502"/>
      <c r="G52" s="502"/>
      <c r="H52" s="502"/>
      <c r="I52" s="503"/>
      <c r="J52" s="13"/>
      <c r="K52" s="493" t="s">
        <v>337</v>
      </c>
      <c r="L52" s="502"/>
      <c r="M52" s="502"/>
      <c r="N52" s="502"/>
      <c r="O52" s="502"/>
      <c r="P52" s="502"/>
      <c r="Q52" s="503"/>
      <c r="R52" s="13"/>
      <c r="S52" s="13"/>
      <c r="T52" s="13"/>
      <c r="U52" s="13"/>
      <c r="V52" s="13"/>
      <c r="W52" s="13"/>
      <c r="X52" s="13"/>
      <c r="Y52" s="13"/>
      <c r="Z52" s="13"/>
      <c r="AA52" s="13"/>
      <c r="AB52" s="13"/>
      <c r="AC52" s="13"/>
      <c r="AD52" s="13"/>
      <c r="AE52" s="13"/>
      <c r="AF52" s="13"/>
      <c r="AH52" s="94"/>
      <c r="AI52" s="73"/>
      <c r="AJ52" s="120"/>
      <c r="AK52" s="120"/>
      <c r="AL52" s="120"/>
      <c r="AM52" s="120"/>
      <c r="AN52" s="120"/>
      <c r="AO52" s="120"/>
      <c r="AP52" s="120"/>
      <c r="AQ52" s="120"/>
      <c r="AR52" s="120"/>
    </row>
    <row r="53" spans="2:51" ht="15.5">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H53" s="94"/>
      <c r="AI53" s="73"/>
      <c r="AJ53" s="120"/>
      <c r="AK53" s="120"/>
      <c r="AL53" s="120"/>
      <c r="AM53" s="120"/>
      <c r="AN53" s="120"/>
      <c r="AO53" s="120"/>
      <c r="AP53" s="120"/>
      <c r="AQ53" s="120"/>
      <c r="AR53" s="120"/>
    </row>
    <row r="54" spans="2:51" ht="17.5">
      <c r="B54" s="235" t="s">
        <v>223</v>
      </c>
      <c r="C54" s="126"/>
      <c r="D54" s="493" t="s">
        <v>224</v>
      </c>
      <c r="E54" s="494"/>
      <c r="F54" s="13"/>
      <c r="G54" s="125" t="s">
        <v>0</v>
      </c>
      <c r="H54" s="125" t="s">
        <v>1</v>
      </c>
      <c r="I54" s="125" t="s">
        <v>9</v>
      </c>
      <c r="J54" s="13"/>
      <c r="K54" s="13"/>
      <c r="L54" s="13"/>
      <c r="M54" s="125" t="s">
        <v>0</v>
      </c>
      <c r="N54" s="125" t="s">
        <v>1</v>
      </c>
      <c r="O54" s="125" t="s">
        <v>9</v>
      </c>
      <c r="P54" s="13"/>
      <c r="Q54" s="13"/>
      <c r="R54" s="13"/>
      <c r="S54" s="13"/>
      <c r="T54" s="13"/>
      <c r="U54" s="13"/>
      <c r="V54" s="13"/>
      <c r="W54" s="13"/>
      <c r="X54" s="13"/>
      <c r="Y54" s="13"/>
      <c r="Z54" s="13"/>
      <c r="AA54" s="13"/>
      <c r="AB54" s="13"/>
      <c r="AC54" s="13"/>
      <c r="AD54" s="13"/>
      <c r="AE54" s="13"/>
      <c r="AF54" s="13"/>
      <c r="AH54" s="94"/>
      <c r="AI54" s="73"/>
      <c r="AJ54" s="120"/>
      <c r="AK54" s="120"/>
      <c r="AL54" s="120"/>
      <c r="AM54" s="120"/>
      <c r="AN54" s="120"/>
      <c r="AO54" s="120"/>
      <c r="AP54" s="120"/>
      <c r="AQ54" s="120"/>
      <c r="AR54" s="120"/>
    </row>
    <row r="55" spans="2:51" ht="15.5">
      <c r="B55" s="127">
        <f>(C48+D48)/F48</f>
        <v>1.875</v>
      </c>
      <c r="C55" s="128"/>
      <c r="D55" s="495">
        <f>D48/C48</f>
        <v>7.1428571428571425E-2</v>
      </c>
      <c r="E55" s="495"/>
      <c r="G55" s="127">
        <f>F48/($F$48+$G$48+$H$48)</f>
        <v>0.59259259259259256</v>
      </c>
      <c r="H55" s="127">
        <f>G48/($F$48+$G$48+$H$48)</f>
        <v>0.29629629629629628</v>
      </c>
      <c r="I55" s="127">
        <f>H48/($F$48+$G$48+$H$48)</f>
        <v>0.1111111111111111</v>
      </c>
      <c r="J55" s="13"/>
      <c r="K55" s="13"/>
      <c r="L55" s="13"/>
      <c r="M55" s="127">
        <f>F48/($F$48+$G$48*2+$H$48*2)</f>
        <v>0.42105263157894735</v>
      </c>
      <c r="N55" s="127">
        <f>G48*2/($F$48+$G$48*2+$H$48*2)</f>
        <v>0.42105263157894735</v>
      </c>
      <c r="O55" s="127">
        <f>H48*2/($F$48+$G$48*2+$H$48*2)</f>
        <v>0.15789473684210525</v>
      </c>
      <c r="P55" s="13"/>
      <c r="Q55" s="13"/>
      <c r="R55" s="13"/>
      <c r="S55" s="13"/>
      <c r="T55" s="13"/>
      <c r="U55" s="13"/>
      <c r="V55" s="13"/>
      <c r="W55" s="13"/>
      <c r="X55" s="13"/>
      <c r="Y55" s="13"/>
      <c r="Z55" s="13"/>
      <c r="AA55" s="13"/>
      <c r="AB55" s="13"/>
      <c r="AC55" s="13"/>
      <c r="AD55" s="13"/>
      <c r="AE55" s="13"/>
      <c r="AF55" s="13"/>
      <c r="AH55" s="94"/>
      <c r="AI55" s="73"/>
      <c r="AJ55" s="120"/>
      <c r="AK55" s="120"/>
      <c r="AL55" s="120"/>
      <c r="AM55" s="120"/>
      <c r="AN55" s="120"/>
      <c r="AO55" s="120"/>
      <c r="AP55" s="120"/>
      <c r="AQ55" s="120"/>
      <c r="AR55" s="120"/>
    </row>
    <row r="56" spans="2:51" ht="15.5">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H56" s="94"/>
      <c r="AI56" s="73"/>
      <c r="AJ56" s="120"/>
      <c r="AK56" s="120"/>
      <c r="AL56" s="120"/>
      <c r="AM56" s="120"/>
      <c r="AN56" s="120"/>
      <c r="AO56" s="120"/>
      <c r="AP56" s="120"/>
      <c r="AQ56" s="120"/>
      <c r="AR56" s="120"/>
    </row>
    <row r="57" spans="2:51" ht="15.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H57" s="94"/>
      <c r="AI57" s="73"/>
      <c r="AJ57" s="120"/>
      <c r="AK57" s="120"/>
      <c r="AL57" s="120"/>
      <c r="AM57" s="120"/>
      <c r="AN57" s="120"/>
      <c r="AO57" s="120"/>
      <c r="AP57" s="120"/>
      <c r="AQ57" s="120"/>
      <c r="AR57" s="120"/>
    </row>
    <row r="58" spans="2:51" ht="15.5">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H58" s="94"/>
      <c r="AI58" s="73"/>
      <c r="AJ58" s="120"/>
      <c r="AK58" s="120"/>
      <c r="AL58" s="120"/>
      <c r="AM58" s="120"/>
      <c r="AN58" s="120"/>
      <c r="AO58" s="120"/>
      <c r="AP58" s="120"/>
      <c r="AQ58" s="120"/>
      <c r="AR58" s="120"/>
    </row>
    <row r="59" spans="2:51" ht="15.5">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H59" s="94"/>
      <c r="AI59" s="73"/>
      <c r="AJ59" s="120"/>
      <c r="AK59" s="120"/>
      <c r="AL59" s="120"/>
      <c r="AM59" s="120"/>
      <c r="AN59" s="120"/>
      <c r="AO59" s="120"/>
      <c r="AP59" s="120"/>
      <c r="AQ59" s="120"/>
      <c r="AR59" s="120"/>
    </row>
    <row r="60" spans="2:51" ht="15.5">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H60" s="94"/>
      <c r="AI60" s="73"/>
      <c r="AJ60" s="120"/>
      <c r="AK60" s="120"/>
      <c r="AL60" s="120"/>
      <c r="AM60" s="120"/>
      <c r="AN60" s="120"/>
      <c r="AO60" s="120"/>
      <c r="AP60" s="120"/>
      <c r="AQ60" s="120"/>
      <c r="AR60" s="120"/>
    </row>
    <row r="61" spans="2:51" ht="15.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H61" s="94"/>
      <c r="AI61" s="73"/>
      <c r="AJ61" s="120"/>
      <c r="AK61" s="120"/>
      <c r="AL61" s="120"/>
      <c r="AM61" s="120"/>
      <c r="AN61" s="120"/>
      <c r="AO61" s="120"/>
      <c r="AP61" s="120"/>
      <c r="AQ61" s="120"/>
      <c r="AR61" s="120"/>
    </row>
    <row r="62" spans="2:51" ht="15.5">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H62" s="94"/>
      <c r="AI62" s="73"/>
      <c r="AJ62" s="120"/>
      <c r="AK62" s="120"/>
      <c r="AL62" s="120"/>
      <c r="AM62" s="120"/>
      <c r="AN62" s="120"/>
      <c r="AO62" s="120"/>
      <c r="AP62" s="120"/>
      <c r="AQ62" s="120"/>
      <c r="AR62" s="120"/>
    </row>
    <row r="63" spans="2:51">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row>
    <row r="64" spans="2:51">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2:32">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2:32">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2:32">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row>
    <row r="68" spans="2:32">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row>
    <row r="69" spans="2:32">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2:3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row>
    <row r="71" spans="2:32">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row>
    <row r="72" spans="2:3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row>
    <row r="73" spans="2:32">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2:32">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row>
    <row r="75" spans="2:32">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row>
    <row r="76" spans="2:32">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row>
    <row r="77" spans="2:32">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row>
    <row r="78" spans="2:32">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2:32">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row>
    <row r="80" spans="2:32">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row>
    <row r="81" spans="2:3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row>
    <row r="82" spans="2:32">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row>
    <row r="83" spans="2:32">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2:32">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row>
    <row r="85" spans="2:32">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row>
    <row r="86" spans="2:32">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row>
    <row r="87" spans="2:32">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row>
    <row r="88" spans="2:32">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row>
    <row r="89" spans="2:32">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row>
    <row r="90" spans="2:32">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2:32">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row>
    <row r="92" spans="2:32">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row>
    <row r="93" spans="2:32">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2:32">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row>
    <row r="95" spans="2:32">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row>
    <row r="96" spans="2:32">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row>
    <row r="97" spans="2:32">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row>
    <row r="98" spans="2:32">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2:32">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row>
    <row r="100" spans="2:32">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row>
    <row r="101" spans="2:32">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2:32">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row>
    <row r="103" spans="2:32">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row>
    <row r="104" spans="2:32">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row>
    <row r="105" spans="2:32">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row>
    <row r="106" spans="2:32">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row>
    <row r="107" spans="2:32">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row>
    <row r="108" spans="2:32">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row>
    <row r="109" spans="2:32">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2:32">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row>
    <row r="111" spans="2:32">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row>
    <row r="112" spans="2:32">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row>
    <row r="113" spans="2:32">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row>
    <row r="114" spans="2:32">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row>
    <row r="115" spans="2:32">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row>
    <row r="116" spans="2:32">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row>
    <row r="117" spans="2:32">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2:32">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row>
    <row r="119" spans="2:32">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row>
    <row r="120" spans="2:32">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row>
    <row r="121" spans="2:32">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row>
    <row r="122" spans="2:32">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2:32">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2:32">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2:32">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2:32">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row>
    <row r="127" spans="2:32">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row>
    <row r="128" spans="2:32">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row>
    <row r="129" spans="2:32">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row>
    <row r="130" spans="2:32">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row>
    <row r="131" spans="2:3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row>
    <row r="132" spans="2:32">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row>
    <row r="133" spans="2:32">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row>
    <row r="134" spans="2:32">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row>
    <row r="135" spans="2:32">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row>
    <row r="136" spans="2:32">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row>
    <row r="137" spans="2:32">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row>
    <row r="138" spans="2:32">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row>
    <row r="139" spans="2:32">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row>
    <row r="140" spans="2:32">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row>
    <row r="141" spans="2:32">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row>
    <row r="142" spans="2:32">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row>
    <row r="143" spans="2:32">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row>
    <row r="144" spans="2:32">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row>
    <row r="145" spans="2:32">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row>
    <row r="146" spans="2:32">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row>
    <row r="147" spans="2:32">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row>
    <row r="148" spans="2:32">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row>
    <row r="149" spans="2:32">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row>
    <row r="150" spans="2:32">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row>
    <row r="151" spans="2:32">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row>
    <row r="152" spans="2:32">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row>
    <row r="153" spans="2:32">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row>
    <row r="154" spans="2:32">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row>
    <row r="155" spans="2:32">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row>
    <row r="156" spans="2:32">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row>
    <row r="157" spans="2:32">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row>
    <row r="158" spans="2:32">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row>
    <row r="159" spans="2:32">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row>
    <row r="160" spans="2:32">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row>
    <row r="161" spans="2:32">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row>
    <row r="162" spans="2:32">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row>
    <row r="163" spans="2:32">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row>
    <row r="164" spans="2:32">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row>
    <row r="165" spans="2:32">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row>
    <row r="166" spans="2:32">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row>
    <row r="167" spans="2:32">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2:32">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row>
    <row r="169" spans="2:32">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2:32">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row>
    <row r="171" spans="2:32">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row>
    <row r="172" spans="2:32">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row>
    <row r="173" spans="2:32">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2:32">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row>
    <row r="175" spans="2:32">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2:32">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2:32">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2:32">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2:32">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row r="180" spans="2:32">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row>
    <row r="181" spans="2:32">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row>
    <row r="182" spans="2:32">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row>
    <row r="183" spans="2:32">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row>
    <row r="184" spans="2:32">
      <c r="AF184" s="129"/>
    </row>
    <row r="185" spans="2:32">
      <c r="AF185" s="129"/>
    </row>
    <row r="186" spans="2:32">
      <c r="AF186" s="129"/>
    </row>
    <row r="187" spans="2:32">
      <c r="AF187" s="129"/>
    </row>
    <row r="188" spans="2:32">
      <c r="AF188" s="129"/>
    </row>
    <row r="189" spans="2:32">
      <c r="AF189" s="129"/>
    </row>
    <row r="190" spans="2:32">
      <c r="AF190" s="129"/>
    </row>
    <row r="191" spans="2:32">
      <c r="AF191" s="129"/>
    </row>
    <row r="192" spans="2:32">
      <c r="AF192" s="129"/>
    </row>
    <row r="193" spans="32:32">
      <c r="AF193" s="129"/>
    </row>
    <row r="194" spans="32:32">
      <c r="AF194" s="129"/>
    </row>
    <row r="195" spans="32:32">
      <c r="AF195" s="129"/>
    </row>
    <row r="196" spans="32:32">
      <c r="AF196" s="129"/>
    </row>
    <row r="197" spans="32:32">
      <c r="AF197" s="129"/>
    </row>
    <row r="198" spans="32:32">
      <c r="AF198" s="129"/>
    </row>
    <row r="199" spans="32:32">
      <c r="AF199" s="129"/>
    </row>
    <row r="200" spans="32:32">
      <c r="AF200" s="129"/>
    </row>
    <row r="201" spans="32:32">
      <c r="AF201" s="129"/>
    </row>
    <row r="202" spans="32:32">
      <c r="AF202" s="129"/>
    </row>
    <row r="203" spans="32:32">
      <c r="AF203" s="129"/>
    </row>
    <row r="204" spans="32:32">
      <c r="AF204" s="129"/>
    </row>
    <row r="205" spans="32:32">
      <c r="AF205" s="129"/>
    </row>
    <row r="206" spans="32:32">
      <c r="AF206" s="129"/>
    </row>
    <row r="207" spans="32:32">
      <c r="AF207" s="129"/>
    </row>
    <row r="208" spans="32:32">
      <c r="AF208" s="129"/>
    </row>
    <row r="209" spans="32:32">
      <c r="AF209" s="129"/>
    </row>
    <row r="210" spans="32:32">
      <c r="AF210" s="129"/>
    </row>
    <row r="211" spans="32:32">
      <c r="AF211" s="129"/>
    </row>
    <row r="212" spans="32:32">
      <c r="AF212" s="129"/>
    </row>
    <row r="213" spans="32:32">
      <c r="AF213" s="129"/>
    </row>
    <row r="214" spans="32:32">
      <c r="AF214" s="129"/>
    </row>
    <row r="215" spans="32:32">
      <c r="AF215" s="129"/>
    </row>
    <row r="216" spans="32:32">
      <c r="AF216" s="129"/>
    </row>
    <row r="217" spans="32:32">
      <c r="AF217" s="129"/>
    </row>
    <row r="218" spans="32:32">
      <c r="AF218" s="129"/>
    </row>
    <row r="219" spans="32:32">
      <c r="AF219" s="129"/>
    </row>
    <row r="220" spans="32:32">
      <c r="AF220" s="129"/>
    </row>
    <row r="221" spans="32:32">
      <c r="AF221" s="129"/>
    </row>
    <row r="222" spans="32:32">
      <c r="AF222" s="129"/>
    </row>
    <row r="223" spans="32:32">
      <c r="AF223" s="129"/>
    </row>
    <row r="224" spans="32:32">
      <c r="AF224" s="129"/>
    </row>
    <row r="225" spans="32:32">
      <c r="AF225" s="129"/>
    </row>
    <row r="226" spans="32:32">
      <c r="AF226" s="129"/>
    </row>
    <row r="227" spans="32:32">
      <c r="AF227" s="129"/>
    </row>
    <row r="228" spans="32:32">
      <c r="AF228" s="129"/>
    </row>
    <row r="229" spans="32:32">
      <c r="AF229" s="129"/>
    </row>
    <row r="230" spans="32:32">
      <c r="AF230" s="129"/>
    </row>
    <row r="231" spans="32:32">
      <c r="AF231" s="129"/>
    </row>
    <row r="232" spans="32:32">
      <c r="AF232" s="129"/>
    </row>
    <row r="233" spans="32:32">
      <c r="AF233" s="129"/>
    </row>
    <row r="234" spans="32:32">
      <c r="AF234" s="129"/>
    </row>
    <row r="235" spans="32:32">
      <c r="AF235" s="129"/>
    </row>
    <row r="236" spans="32:32">
      <c r="AF236" s="129"/>
    </row>
    <row r="237" spans="32:32">
      <c r="AF237" s="129"/>
    </row>
    <row r="238" spans="32:32">
      <c r="AF238" s="129"/>
    </row>
    <row r="239" spans="32:32">
      <c r="AF239" s="129"/>
    </row>
    <row r="240" spans="32:32">
      <c r="AF240" s="129"/>
    </row>
    <row r="241" spans="32:32">
      <c r="AF241" s="129"/>
    </row>
    <row r="242" spans="32:32">
      <c r="AF242" s="129"/>
    </row>
    <row r="243" spans="32:32">
      <c r="AF243" s="129"/>
    </row>
    <row r="244" spans="32:32">
      <c r="AF244" s="129"/>
    </row>
    <row r="245" spans="32:32">
      <c r="AF245" s="129"/>
    </row>
    <row r="246" spans="32:32">
      <c r="AF246" s="129"/>
    </row>
    <row r="247" spans="32:32">
      <c r="AF247" s="129"/>
    </row>
    <row r="248" spans="32:32">
      <c r="AF248" s="129"/>
    </row>
    <row r="249" spans="32:32">
      <c r="AF249" s="129"/>
    </row>
    <row r="250" spans="32:32">
      <c r="AF250" s="129"/>
    </row>
    <row r="251" spans="32:32">
      <c r="AF251" s="129"/>
    </row>
    <row r="252" spans="32:32">
      <c r="AF252" s="129"/>
    </row>
    <row r="253" spans="32:32">
      <c r="AF253" s="129"/>
    </row>
    <row r="254" spans="32:32">
      <c r="AF254" s="129"/>
    </row>
    <row r="255" spans="32:32">
      <c r="AF255" s="129"/>
    </row>
    <row r="256" spans="32:32">
      <c r="AF256" s="129"/>
    </row>
    <row r="257" spans="32:32">
      <c r="AF257" s="129"/>
    </row>
    <row r="258" spans="32:32">
      <c r="AF258" s="129"/>
    </row>
    <row r="259" spans="32:32">
      <c r="AF259" s="129"/>
    </row>
    <row r="260" spans="32:32">
      <c r="AF260" s="129"/>
    </row>
    <row r="261" spans="32:32">
      <c r="AF261" s="129"/>
    </row>
    <row r="262" spans="32:32">
      <c r="AF262" s="129"/>
    </row>
    <row r="263" spans="32:32">
      <c r="AF263" s="129"/>
    </row>
    <row r="264" spans="32:32">
      <c r="AF264" s="129"/>
    </row>
    <row r="265" spans="32:32">
      <c r="AF265" s="129"/>
    </row>
    <row r="266" spans="32:32">
      <c r="AF266" s="129"/>
    </row>
    <row r="267" spans="32:32">
      <c r="AF267" s="129"/>
    </row>
    <row r="268" spans="32:32">
      <c r="AF268" s="129"/>
    </row>
    <row r="269" spans="32:32">
      <c r="AF269" s="129"/>
    </row>
    <row r="270" spans="32:32">
      <c r="AF270" s="129"/>
    </row>
    <row r="271" spans="32:32">
      <c r="AF271" s="129"/>
    </row>
    <row r="272" spans="32:32">
      <c r="AF272" s="129"/>
    </row>
    <row r="273" spans="32:32">
      <c r="AF273" s="129"/>
    </row>
    <row r="274" spans="32:32">
      <c r="AF274" s="129"/>
    </row>
    <row r="275" spans="32:32">
      <c r="AF275" s="129"/>
    </row>
    <row r="276" spans="32:32">
      <c r="AF276" s="129"/>
    </row>
    <row r="277" spans="32:32">
      <c r="AF277" s="129"/>
    </row>
    <row r="278" spans="32:32">
      <c r="AF278" s="129"/>
    </row>
    <row r="279" spans="32:32">
      <c r="AF279" s="129"/>
    </row>
    <row r="280" spans="32:32">
      <c r="AF280" s="129"/>
    </row>
    <row r="281" spans="32:32">
      <c r="AF281" s="129"/>
    </row>
    <row r="282" spans="32:32">
      <c r="AF282" s="129"/>
    </row>
    <row r="283" spans="32:32">
      <c r="AF283" s="129"/>
    </row>
    <row r="284" spans="32:32">
      <c r="AF284" s="129"/>
    </row>
    <row r="285" spans="32:32">
      <c r="AF285" s="129"/>
    </row>
    <row r="286" spans="32:32">
      <c r="AF286" s="129"/>
    </row>
    <row r="287" spans="32:32">
      <c r="AF287" s="129"/>
    </row>
    <row r="288" spans="32:32">
      <c r="AF288" s="129"/>
    </row>
    <row r="289" spans="32:32">
      <c r="AF289" s="129"/>
    </row>
    <row r="290" spans="32:32">
      <c r="AF290" s="129"/>
    </row>
    <row r="291" spans="32:32">
      <c r="AF291" s="129"/>
    </row>
    <row r="292" spans="32:32">
      <c r="AF292" s="129"/>
    </row>
    <row r="293" spans="32:32">
      <c r="AF293" s="129"/>
    </row>
    <row r="294" spans="32:32">
      <c r="AF294" s="129"/>
    </row>
    <row r="295" spans="32:32">
      <c r="AF295" s="129"/>
    </row>
    <row r="296" spans="32:32">
      <c r="AF296" s="129"/>
    </row>
    <row r="297" spans="32:32">
      <c r="AF297" s="129"/>
    </row>
    <row r="298" spans="32:32">
      <c r="AF298" s="129"/>
    </row>
    <row r="299" spans="32:32">
      <c r="AF299" s="129"/>
    </row>
    <row r="300" spans="32:32">
      <c r="AF300" s="129"/>
    </row>
    <row r="301" spans="32:32">
      <c r="AF301" s="129"/>
    </row>
    <row r="302" spans="32:32">
      <c r="AF302" s="129"/>
    </row>
    <row r="303" spans="32:32">
      <c r="AF303" s="129"/>
    </row>
    <row r="304" spans="32:32">
      <c r="AF304" s="129"/>
    </row>
    <row r="305" spans="32:32">
      <c r="AF305" s="129"/>
    </row>
    <row r="306" spans="32:32">
      <c r="AF306" s="129"/>
    </row>
    <row r="307" spans="32:32">
      <c r="AF307" s="129"/>
    </row>
    <row r="308" spans="32:32">
      <c r="AF308" s="129"/>
    </row>
    <row r="309" spans="32:32">
      <c r="AF309" s="129"/>
    </row>
    <row r="310" spans="32:32">
      <c r="AF310" s="129"/>
    </row>
    <row r="311" spans="32:32">
      <c r="AF311" s="129"/>
    </row>
    <row r="312" spans="32:32">
      <c r="AF312" s="129"/>
    </row>
    <row r="313" spans="32:32">
      <c r="AF313" s="129"/>
    </row>
    <row r="314" spans="32:32">
      <c r="AF314" s="129"/>
    </row>
    <row r="315" spans="32:32">
      <c r="AF315" s="129"/>
    </row>
    <row r="316" spans="32:32">
      <c r="AF316" s="129"/>
    </row>
    <row r="317" spans="32:32">
      <c r="AF317" s="129"/>
    </row>
    <row r="318" spans="32:32">
      <c r="AF318" s="129"/>
    </row>
    <row r="319" spans="32:32">
      <c r="AF319" s="129"/>
    </row>
    <row r="320" spans="32:32">
      <c r="AF320" s="129"/>
    </row>
    <row r="321" spans="32:32">
      <c r="AF321" s="129"/>
    </row>
    <row r="322" spans="32:32">
      <c r="AF322" s="129"/>
    </row>
    <row r="323" spans="32:32">
      <c r="AF323" s="129"/>
    </row>
    <row r="324" spans="32:32">
      <c r="AF324" s="129"/>
    </row>
    <row r="325" spans="32:32">
      <c r="AF325" s="129"/>
    </row>
    <row r="326" spans="32:32">
      <c r="AF326" s="129"/>
    </row>
    <row r="327" spans="32:32">
      <c r="AF327" s="129"/>
    </row>
    <row r="328" spans="32:32">
      <c r="AF328" s="129"/>
    </row>
  </sheetData>
  <sheetProtection algorithmName="SHA-512" hashValue="iQ2TvMahVUnCroLRVh/07OPvtWca+KRmgQe4P0t1M7bXSWbZx22mV8/Jd0aFqXsVfId1pizuwq15AH6NCQxiQw==" saltValue="cfr5+ymYF9s1v178c/hXuw==" spinCount="100000" sheet="1" objects="1" scenarios="1"/>
  <dataConsolidate/>
  <mergeCells count="18">
    <mergeCell ref="B32:F32"/>
    <mergeCell ref="D54:E54"/>
    <mergeCell ref="D55:E55"/>
    <mergeCell ref="C49:K49"/>
    <mergeCell ref="L49:Q49"/>
    <mergeCell ref="C35:L35"/>
    <mergeCell ref="M35:Q35"/>
    <mergeCell ref="B52:I52"/>
    <mergeCell ref="K52:Q52"/>
    <mergeCell ref="J5:M5"/>
    <mergeCell ref="O5:R5"/>
    <mergeCell ref="J7:M7"/>
    <mergeCell ref="O7:R7"/>
    <mergeCell ref="C17:L17"/>
    <mergeCell ref="B14:O14"/>
    <mergeCell ref="O9:R9"/>
    <mergeCell ref="J9:M9"/>
    <mergeCell ref="M17:R17"/>
  </mergeCells>
  <phoneticPr fontId="6" type="noConversion"/>
  <conditionalFormatting sqref="B24 E24:F24 I24">
    <cfRule type="expression" dxfId="144" priority="3" stopIfTrue="1">
      <formula>B$18&lt;1.001</formula>
    </cfRule>
    <cfRule type="expression" dxfId="143" priority="4" stopIfTrue="1">
      <formula>B$18&gt;1</formula>
    </cfRule>
  </conditionalFormatting>
  <conditionalFormatting sqref="K42">
    <cfRule type="expression" dxfId="142" priority="5" stopIfTrue="1">
      <formula>I42&gt;$B$18+2.81</formula>
    </cfRule>
    <cfRule type="expression" dxfId="141" priority="6" stopIfTrue="1">
      <formula>I42&gt;$B$18+0.505</formula>
    </cfRule>
    <cfRule type="expression" dxfId="140" priority="7" stopIfTrue="1">
      <formula>I42&lt;$B$18+0.505</formula>
    </cfRule>
  </conditionalFormatting>
  <conditionalFormatting sqref="C24">
    <cfRule type="expression" dxfId="139" priority="8" stopIfTrue="1">
      <formula>C$18&lt;5.01</formula>
    </cfRule>
    <cfRule type="expression" dxfId="138" priority="9" stopIfTrue="1">
      <formula>C$18&gt;5</formula>
    </cfRule>
  </conditionalFormatting>
  <conditionalFormatting sqref="D24">
    <cfRule type="expression" dxfId="137" priority="10" stopIfTrue="1">
      <formula>D$18&lt;3.571</formula>
    </cfRule>
    <cfRule type="expression" dxfId="136" priority="11" stopIfTrue="1">
      <formula>D$18&gt;3.57</formula>
    </cfRule>
  </conditionalFormatting>
  <conditionalFormatting sqref="G24">
    <cfRule type="expression" dxfId="135" priority="12" stopIfTrue="1">
      <formula>G$18&lt;2.501</formula>
    </cfRule>
    <cfRule type="expression" dxfId="134" priority="13" stopIfTrue="1">
      <formula>G$18&gt;2.5</formula>
    </cfRule>
  </conditionalFormatting>
  <conditionalFormatting sqref="H24">
    <cfRule type="expression" dxfId="133" priority="14" stopIfTrue="1">
      <formula>H$18&lt;4.001</formula>
    </cfRule>
    <cfRule type="expression" dxfId="132" priority="15" stopIfTrue="1">
      <formula>H$18&gt;4</formula>
    </cfRule>
  </conditionalFormatting>
  <conditionalFormatting sqref="K24">
    <cfRule type="expression" dxfId="131" priority="16" stopIfTrue="1">
      <formula>K18&lt;2.801</formula>
    </cfRule>
    <cfRule type="expression" dxfId="130" priority="17" stopIfTrue="1">
      <formula>K18&gt;2.8</formula>
    </cfRule>
  </conditionalFormatting>
  <conditionalFormatting sqref="M24">
    <cfRule type="expression" dxfId="129" priority="18" stopIfTrue="1">
      <formula>M$18&lt;53.711</formula>
    </cfRule>
    <cfRule type="expression" dxfId="128" priority="19" stopIfTrue="1">
      <formula>M$18&gt;53.71</formula>
    </cfRule>
  </conditionalFormatting>
  <conditionalFormatting sqref="N24">
    <cfRule type="expression" dxfId="127" priority="20" stopIfTrue="1">
      <formula>N$18&lt;69.401</formula>
    </cfRule>
    <cfRule type="expression" dxfId="126" priority="21" stopIfTrue="1">
      <formula>N$18&gt;69.4</formula>
    </cfRule>
  </conditionalFormatting>
  <conditionalFormatting sqref="O24">
    <cfRule type="expression" dxfId="125" priority="22" stopIfTrue="1">
      <formula>O$18&lt;15.731</formula>
    </cfRule>
    <cfRule type="expression" dxfId="124" priority="23" stopIfTrue="1">
      <formula>O$18&gt;15.73</formula>
    </cfRule>
  </conditionalFormatting>
  <conditionalFormatting sqref="P24">
    <cfRule type="expression" dxfId="123" priority="24" stopIfTrue="1">
      <formula>P$18&lt;30.591</formula>
    </cfRule>
    <cfRule type="expression" dxfId="122" priority="25" stopIfTrue="1">
      <formula>P$18&gt;30.59</formula>
    </cfRule>
  </conditionalFormatting>
  <conditionalFormatting sqref="Q24">
    <cfRule type="expression" dxfId="121" priority="26" stopIfTrue="1">
      <formula>Q$18&lt;9.101</formula>
    </cfRule>
    <cfRule type="expression" dxfId="120" priority="27" stopIfTrue="1">
      <formula>Q$18&gt;9.1</formula>
    </cfRule>
  </conditionalFormatting>
  <conditionalFormatting sqref="R24">
    <cfRule type="expression" dxfId="119" priority="28" stopIfTrue="1">
      <formula>R$18&lt;2.081</formula>
    </cfRule>
    <cfRule type="expression" dxfId="118" priority="29" stopIfTrue="1">
      <formula>R$18&gt;2.08</formula>
    </cfRule>
  </conditionalFormatting>
  <conditionalFormatting sqref="C38">
    <cfRule type="expression" dxfId="117" priority="30" stopIfTrue="1">
      <formula>C36&lt; 18.001</formula>
    </cfRule>
    <cfRule type="expression" dxfId="116" priority="31" stopIfTrue="1">
      <formula>C36&gt;18</formula>
    </cfRule>
  </conditionalFormatting>
  <conditionalFormatting sqref="D38">
    <cfRule type="expression" dxfId="115" priority="32" stopIfTrue="1">
      <formula>D36&lt; 3.001</formula>
    </cfRule>
    <cfRule type="expression" dxfId="114" priority="33" stopIfTrue="1">
      <formula>D36&gt;3</formula>
    </cfRule>
  </conditionalFormatting>
  <conditionalFormatting sqref="E38 H38">
    <cfRule type="expression" dxfId="113" priority="34" stopIfTrue="1">
      <formula>E36&lt; 2.001</formula>
    </cfRule>
    <cfRule type="expression" dxfId="112" priority="35" stopIfTrue="1">
      <formula>E36&gt;2</formula>
    </cfRule>
  </conditionalFormatting>
  <conditionalFormatting sqref="F38">
    <cfRule type="expression" dxfId="111" priority="36" stopIfTrue="1">
      <formula>F36&lt; 10.001</formula>
    </cfRule>
    <cfRule type="expression" dxfId="110" priority="37" stopIfTrue="1">
      <formula>F36&gt;10</formula>
    </cfRule>
  </conditionalFormatting>
  <conditionalFormatting sqref="G38">
    <cfRule type="expression" dxfId="109" priority="38" stopIfTrue="1">
      <formula>G36&lt; 5.001</formula>
    </cfRule>
    <cfRule type="expression" dxfId="108" priority="39" stopIfTrue="1">
      <formula>G36&gt;5</formula>
    </cfRule>
  </conditionalFormatting>
  <conditionalFormatting sqref="I38:J38">
    <cfRule type="expression" dxfId="107" priority="40" stopIfTrue="1">
      <formula>I36&lt;6.501</formula>
    </cfRule>
    <cfRule type="expression" dxfId="106" priority="41" stopIfTrue="1">
      <formula>I36&gt;6.5</formula>
    </cfRule>
  </conditionalFormatting>
  <conditionalFormatting sqref="K38">
    <cfRule type="expression" dxfId="105" priority="42" stopIfTrue="1">
      <formula>K36&lt;4.501</formula>
    </cfRule>
    <cfRule type="expression" dxfId="104" priority="43" stopIfTrue="1">
      <formula>K36&gt;4.5</formula>
    </cfRule>
  </conditionalFormatting>
  <conditionalFormatting sqref="L38">
    <cfRule type="expression" dxfId="103" priority="44" stopIfTrue="1">
      <formula>L36&lt; 69.501</formula>
    </cfRule>
    <cfRule type="expression" dxfId="102" priority="45" stopIfTrue="1">
      <formula>L36&gt;69.5</formula>
    </cfRule>
  </conditionalFormatting>
  <conditionalFormatting sqref="M38">
    <cfRule type="expression" dxfId="101" priority="46" stopIfTrue="1">
      <formula>M36&lt;70.001</formula>
    </cfRule>
    <cfRule type="expression" dxfId="100" priority="47" stopIfTrue="1">
      <formula>M36&gt;70</formula>
    </cfRule>
  </conditionalFormatting>
  <conditionalFormatting sqref="N38">
    <cfRule type="expression" dxfId="99" priority="48" stopIfTrue="1">
      <formula>N36&lt;15.001</formula>
    </cfRule>
    <cfRule type="expression" dxfId="98" priority="49" stopIfTrue="1">
      <formula>N36&gt;15</formula>
    </cfRule>
  </conditionalFormatting>
  <conditionalFormatting sqref="O38">
    <cfRule type="expression" dxfId="97" priority="50" stopIfTrue="1">
      <formula>O36&lt; 23.001</formula>
    </cfRule>
    <cfRule type="expression" dxfId="96" priority="51" stopIfTrue="1">
      <formula>O36&gt;23</formula>
    </cfRule>
  </conditionalFormatting>
  <conditionalFormatting sqref="P38">
    <cfRule type="expression" dxfId="95" priority="52" stopIfTrue="1">
      <formula>P36&lt;36.001</formula>
    </cfRule>
    <cfRule type="expression" dxfId="94" priority="53" stopIfTrue="1">
      <formula>P36&gt;36</formula>
    </cfRule>
  </conditionalFormatting>
  <conditionalFormatting sqref="Q38">
    <cfRule type="expression" dxfId="93" priority="54" stopIfTrue="1">
      <formula>Q36&lt;8.001</formula>
    </cfRule>
    <cfRule type="expression" dxfId="92" priority="55" stopIfTrue="1">
      <formula>Q36&gt;8</formula>
    </cfRule>
  </conditionalFormatting>
  <conditionalFormatting sqref="B21:E21">
    <cfRule type="expression" dxfId="91" priority="56" stopIfTrue="1">
      <formula>($AI$17)^2&gt;1</formula>
    </cfRule>
    <cfRule type="expression" dxfId="90" priority="57" stopIfTrue="1">
      <formula>($AI17)^2&lt;1.01</formula>
    </cfRule>
  </conditionalFormatting>
  <conditionalFormatting sqref="E50">
    <cfRule type="cellIs" priority="58" stopIfTrue="1" operator="greaterThan">
      <formula>62</formula>
    </cfRule>
  </conditionalFormatting>
  <conditionalFormatting sqref="C50">
    <cfRule type="cellIs" dxfId="89" priority="59" stopIfTrue="1" operator="greaterThan">
      <formula>250</formula>
    </cfRule>
  </conditionalFormatting>
  <conditionalFormatting sqref="D50 H50">
    <cfRule type="cellIs" dxfId="88" priority="60" stopIfTrue="1" operator="greaterThan">
      <formula>50</formula>
    </cfRule>
  </conditionalFormatting>
  <conditionalFormatting sqref="F50">
    <cfRule type="cellIs" dxfId="87" priority="61" stopIfTrue="1" operator="greaterThan">
      <formula>390</formula>
    </cfRule>
  </conditionalFormatting>
  <conditionalFormatting sqref="G50 J50">
    <cfRule type="cellIs" dxfId="86" priority="62" stopIfTrue="1" operator="greaterThan">
      <formula>200</formula>
    </cfRule>
  </conditionalFormatting>
  <conditionalFormatting sqref="I50">
    <cfRule type="cellIs" dxfId="85" priority="63" stopIfTrue="1" operator="greaterThan">
      <formula>150</formula>
    </cfRule>
  </conditionalFormatting>
  <conditionalFormatting sqref="K50">
    <cfRule type="cellIs" dxfId="84" priority="64" stopIfTrue="1" operator="greaterThan">
      <formula>160</formula>
    </cfRule>
  </conditionalFormatting>
  <conditionalFormatting sqref="L50">
    <cfRule type="cellIs" dxfId="83" priority="65" stopIfTrue="1" operator="greaterThan">
      <formula>4</formula>
    </cfRule>
  </conditionalFormatting>
  <conditionalFormatting sqref="M50:N50">
    <cfRule type="cellIs" dxfId="82" priority="66" stopIfTrue="1" operator="greaterThan">
      <formula>1</formula>
    </cfRule>
  </conditionalFormatting>
  <conditionalFormatting sqref="O50">
    <cfRule type="cellIs" dxfId="81" priority="67" stopIfTrue="1" operator="greaterThan">
      <formula>1.5</formula>
    </cfRule>
  </conditionalFormatting>
  <conditionalFormatting sqref="P50">
    <cfRule type="cellIs" dxfId="80" priority="68" stopIfTrue="1" operator="greaterThan">
      <formula>2</formula>
    </cfRule>
  </conditionalFormatting>
  <conditionalFormatting sqref="Q50">
    <cfRule type="cellIs" dxfId="79" priority="69" stopIfTrue="1" operator="greaterThan">
      <formula>0.8</formula>
    </cfRule>
  </conditionalFormatting>
  <conditionalFormatting sqref="J42">
    <cfRule type="expression" dxfId="78" priority="70" stopIfTrue="1">
      <formula>I42&gt;B18+2.81</formula>
    </cfRule>
    <cfRule type="expression" dxfId="77" priority="71" stopIfTrue="1">
      <formula>I42&gt;B18+0.505</formula>
    </cfRule>
    <cfRule type="expression" dxfId="76" priority="72" stopIfTrue="1">
      <formula>I42&lt;B18+0.505</formula>
    </cfRule>
  </conditionalFormatting>
  <conditionalFormatting sqref="L42:Q42">
    <cfRule type="expression" dxfId="75" priority="73" stopIfTrue="1">
      <formula>$I$42&gt;$B$18+2.81</formula>
    </cfRule>
    <cfRule type="expression" dxfId="74" priority="74" stopIfTrue="1">
      <formula>$I$42&gt;$B$18+0.505</formula>
    </cfRule>
    <cfRule type="expression" dxfId="73" priority="75" stopIfTrue="1">
      <formula>#REF!&lt;$B$18+0.505</formula>
    </cfRule>
  </conditionalFormatting>
  <conditionalFormatting sqref="L27:N27">
    <cfRule type="expression" dxfId="72" priority="76" stopIfTrue="1">
      <formula>$I$27&gt;239.91</formula>
    </cfRule>
    <cfRule type="expression" dxfId="71" priority="77" stopIfTrue="1">
      <formula>$I$27&lt;239.9</formula>
    </cfRule>
  </conditionalFormatting>
  <conditionalFormatting sqref="K27">
    <cfRule type="expression" dxfId="70" priority="78" stopIfTrue="1">
      <formula>$I$27&gt;239.905</formula>
    </cfRule>
    <cfRule type="expression" dxfId="69" priority="79" stopIfTrue="1">
      <formula>$I$27&lt;239.9</formula>
    </cfRule>
  </conditionalFormatting>
  <conditionalFormatting sqref="J24">
    <cfRule type="expression" dxfId="68" priority="80" stopIfTrue="1">
      <formula>$J$18&lt;3.01</formula>
    </cfRule>
    <cfRule type="expression" dxfId="67" priority="81" stopIfTrue="1">
      <formula>$J$18&gt;3</formula>
    </cfRule>
  </conditionalFormatting>
  <conditionalFormatting sqref="L24">
    <cfRule type="expression" dxfId="66" priority="82" stopIfTrue="1">
      <formula>$L$18&lt;3.001</formula>
    </cfRule>
    <cfRule type="expression" dxfId="65" priority="83" stopIfTrue="1">
      <formula>$L$18&gt;3</formula>
    </cfRule>
  </conditionalFormatting>
  <conditionalFormatting sqref="O27:P27">
    <cfRule type="expression" dxfId="64" priority="1" stopIfTrue="1">
      <formula>$I$27&gt;239.905</formula>
    </cfRule>
    <cfRule type="expression" dxfId="63" priority="2" stopIfTrue="1">
      <formula>$I$27&lt;239.9</formula>
    </cfRule>
  </conditionalFormatting>
  <dataValidations count="3">
    <dataValidation type="whole" allowBlank="1" showInputMessage="1" showErrorMessage="1" sqref="I27">
      <formula1>1</formula1>
      <formula2>1000</formula2>
    </dataValidation>
    <dataValidation type="whole" allowBlank="1" showInputMessage="1" showErrorMessage="1" sqref="I28">
      <formula1>1</formula1>
      <formula2>10000</formula2>
    </dataValidation>
    <dataValidation type="list" showInputMessage="1" showErrorMessage="1" sqref="B32:F32">
      <formula1>Coltura_Stadio</formula1>
    </dataValidation>
  </dataValidations>
  <hyperlinks>
    <hyperlink ref="J5:M5" location="Istruzioni!A1" display="Quick start guide"/>
    <hyperlink ref="J7:M7" location="'Formule nutritive'!A5" display="Recipe database"/>
    <hyperlink ref="J9:M9" location="Stampa!B1" display="Print  nutrient solution"/>
    <hyperlink ref="O9:R9" location="Calcolo!F11" display="Calculation sheet"/>
    <hyperlink ref="O7:R7" location="'Acidi &amp; concimi'!A5" display="Fertilizer and acid database"/>
    <hyperlink ref="O5:R5" location="Convertitore!B9" display="Unit converter  ppm&gt; mM"/>
  </hyperlinks>
  <printOptions headings="1" gridLines="1"/>
  <pageMargins left="0.35433070866141736" right="0.47244094488188981" top="0.62992125984251968" bottom="0.59055118110236227" header="0.51181102362204722" footer="0.51181102362204722"/>
  <pageSetup paperSize="9" scale="27" orientation="portrait" horizontalDpi="4294967294" verticalDpi="300" r:id="rId1"/>
  <headerFooter alignWithMargins="0"/>
  <drawing r:id="rId2"/>
  <legacyDrawing r:id="rId3"/>
  <oleObjects>
    <mc:AlternateContent xmlns:mc="http://schemas.openxmlformats.org/markup-compatibility/2006">
      <mc:Choice Requires="x14">
        <oleObject progId="PBrush" shapeId="1175" r:id="rId4">
          <objectPr defaultSize="0" autoPict="0" r:id="rId5">
            <anchor moveWithCells="1">
              <from>
                <xdr:col>0</xdr:col>
                <xdr:colOff>76200</xdr:colOff>
                <xdr:row>0</xdr:row>
                <xdr:rowOff>76200</xdr:rowOff>
              </from>
              <to>
                <xdr:col>1</xdr:col>
                <xdr:colOff>514350</xdr:colOff>
                <xdr:row>2</xdr:row>
                <xdr:rowOff>304800</xdr:rowOff>
              </to>
            </anchor>
          </objectPr>
        </oleObject>
      </mc:Choice>
      <mc:Fallback>
        <oleObject progId="PBrush" shapeId="1175" r:id="rId4"/>
      </mc:Fallback>
    </mc:AlternateContent>
  </oleObjects>
  <controls>
    <mc:AlternateContent xmlns:mc="http://schemas.openxmlformats.org/markup-compatibility/2006">
      <mc:Choice Requires="x14">
        <control shapeId="1099" r:id="rId6" name="SpinButton1">
          <controlPr defaultSize="0" autoLine="0" r:id="rId7">
            <anchor moveWithCells="1">
              <from>
                <xdr:col>2</xdr:col>
                <xdr:colOff>120650</xdr:colOff>
                <xdr:row>40</xdr:row>
                <xdr:rowOff>120650</xdr:rowOff>
              </from>
              <to>
                <xdr:col>2</xdr:col>
                <xdr:colOff>520700</xdr:colOff>
                <xdr:row>42</xdr:row>
                <xdr:rowOff>82550</xdr:rowOff>
              </to>
            </anchor>
          </controlPr>
        </control>
      </mc:Choice>
      <mc:Fallback>
        <control shapeId="1099" r:id="rId6" name="SpinButton1"/>
      </mc:Fallback>
    </mc:AlternateContent>
    <mc:AlternateContent xmlns:mc="http://schemas.openxmlformats.org/markup-compatibility/2006">
      <mc:Choice Requires="x14">
        <control shapeId="1103" r:id="rId8" name="Button 79">
          <controlPr defaultSize="0" print="0" autoFill="0" autoPict="0" macro="[0]!Ripristina_EC">
            <anchor moveWithCells="1" sizeWithCells="1">
              <from>
                <xdr:col>13</xdr:col>
                <xdr:colOff>342900</xdr:colOff>
                <xdr:row>39</xdr:row>
                <xdr:rowOff>19050</xdr:rowOff>
              </from>
              <to>
                <xdr:col>15</xdr:col>
                <xdr:colOff>342900</xdr:colOff>
                <xdr:row>40</xdr:row>
                <xdr:rowOff>228600</xdr:rowOff>
              </to>
            </anchor>
          </controlPr>
        </control>
      </mc:Choice>
    </mc:AlternateContent>
    <mc:AlternateContent xmlns:mc="http://schemas.openxmlformats.org/markup-compatibility/2006">
      <mc:Choice Requires="x14">
        <control shapeId="1138" r:id="rId9" name="Button 114">
          <controlPr defaultSize="0" print="0" autoFill="0" autoPict="0" macro="[0]!visualizza_17">
            <anchor moveWithCells="1" sizeWithCells="1">
              <from>
                <xdr:col>1</xdr:col>
                <xdr:colOff>984250</xdr:colOff>
                <xdr:row>5</xdr:row>
                <xdr:rowOff>44450</xdr:rowOff>
              </from>
              <to>
                <xdr:col>3</xdr:col>
                <xdr:colOff>514350</xdr:colOff>
                <xdr:row>9</xdr:row>
                <xdr:rowOff>57150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7"/>
  <dimension ref="A1:AX72"/>
  <sheetViews>
    <sheetView showRowColHeaders="0" zoomScale="76" zoomScaleNormal="76" workbookViewId="0">
      <pane ySplit="8" topLeftCell="A9" activePane="bottomLeft" state="frozen"/>
      <selection pane="bottomLeft" sqref="A1:W1"/>
    </sheetView>
  </sheetViews>
  <sheetFormatPr defaultColWidth="9" defaultRowHeight="12.5"/>
  <cols>
    <col min="1" max="1" width="5" style="16" customWidth="1"/>
    <col min="2" max="32" width="9" style="16"/>
    <col min="33" max="33" width="9" style="16" hidden="1" customWidth="1"/>
    <col min="34" max="34" width="30.08203125" style="16" hidden="1" customWidth="1"/>
    <col min="35" max="49" width="9" style="16" hidden="1" customWidth="1"/>
    <col min="50" max="50" width="0" style="16" hidden="1" customWidth="1"/>
    <col min="51" max="16384" width="9" style="16"/>
  </cols>
  <sheetData>
    <row r="1" spans="1:50" ht="45" customHeight="1">
      <c r="A1" s="13"/>
      <c r="B1" s="13"/>
      <c r="C1" s="140" t="s">
        <v>182</v>
      </c>
      <c r="D1" s="13"/>
      <c r="E1" s="13"/>
      <c r="F1" s="13"/>
      <c r="G1" s="13"/>
      <c r="H1" s="13"/>
      <c r="I1" s="13"/>
      <c r="J1" s="95"/>
      <c r="K1" s="95"/>
      <c r="L1" s="95"/>
      <c r="M1" s="95"/>
      <c r="N1" s="95"/>
      <c r="O1" s="95"/>
      <c r="P1" s="95"/>
      <c r="Q1" s="95"/>
      <c r="R1" s="13"/>
      <c r="S1" s="13"/>
      <c r="T1" s="13"/>
      <c r="U1" s="95"/>
      <c r="V1" s="95"/>
      <c r="W1" s="95"/>
      <c r="X1" s="13"/>
      <c r="Y1" s="13"/>
      <c r="Z1" s="13"/>
      <c r="AA1" s="13"/>
      <c r="AB1" s="13"/>
      <c r="AC1" s="13"/>
      <c r="AD1" s="13"/>
      <c r="AE1" s="13"/>
      <c r="AF1" s="13"/>
      <c r="AG1" s="13"/>
    </row>
    <row r="2" spans="1:50" ht="22" customHeight="1">
      <c r="A2" s="13"/>
      <c r="B2" s="47"/>
      <c r="C2" s="13"/>
      <c r="D2" s="13"/>
      <c r="E2" s="13"/>
      <c r="F2" s="13"/>
      <c r="G2" s="13"/>
      <c r="H2" s="14"/>
      <c r="I2" s="466" t="s">
        <v>73</v>
      </c>
      <c r="J2" s="467"/>
      <c r="K2" s="467"/>
      <c r="L2" s="468"/>
      <c r="M2" s="19"/>
      <c r="N2" s="466" t="s">
        <v>171</v>
      </c>
      <c r="O2" s="467"/>
      <c r="P2" s="467"/>
      <c r="Q2" s="468"/>
      <c r="R2" s="13"/>
      <c r="S2" s="13"/>
      <c r="T2" s="13"/>
      <c r="U2" s="139"/>
      <c r="V2" s="139"/>
      <c r="W2" s="139"/>
      <c r="X2" s="13"/>
      <c r="Y2" s="13"/>
      <c r="Z2" s="13"/>
      <c r="AA2" s="13"/>
      <c r="AB2" s="13"/>
      <c r="AC2" s="13"/>
      <c r="AD2" s="13"/>
      <c r="AE2" s="13"/>
      <c r="AF2" s="13"/>
      <c r="AG2" s="13"/>
    </row>
    <row r="3" spans="1:50">
      <c r="A3" s="13"/>
      <c r="C3" s="13"/>
      <c r="D3" s="13"/>
      <c r="E3" s="13"/>
      <c r="F3" s="13"/>
      <c r="G3" s="13"/>
      <c r="H3" s="14"/>
      <c r="I3" s="18"/>
      <c r="J3" s="18"/>
      <c r="K3" s="18"/>
      <c r="L3" s="18"/>
      <c r="M3" s="19"/>
      <c r="N3" s="18"/>
      <c r="O3" s="18"/>
      <c r="P3" s="18"/>
      <c r="Q3" s="18"/>
      <c r="R3" s="13"/>
      <c r="S3" s="13"/>
      <c r="T3" s="13"/>
      <c r="U3" s="14"/>
      <c r="V3" s="18"/>
      <c r="W3" s="18"/>
      <c r="X3" s="13"/>
      <c r="Y3" s="13"/>
      <c r="Z3" s="13"/>
      <c r="AA3" s="13"/>
      <c r="AB3" s="13"/>
      <c r="AC3" s="13"/>
      <c r="AD3" s="13"/>
      <c r="AE3" s="13"/>
      <c r="AF3" s="13"/>
      <c r="AG3" s="13"/>
    </row>
    <row r="4" spans="1:50" ht="22" customHeight="1">
      <c r="A4" s="13"/>
      <c r="B4" s="141" t="s">
        <v>54</v>
      </c>
      <c r="C4" s="14"/>
      <c r="D4" s="14"/>
      <c r="E4" s="14"/>
      <c r="F4" s="14"/>
      <c r="G4" s="14"/>
      <c r="H4" s="14"/>
      <c r="I4" s="466" t="s">
        <v>181</v>
      </c>
      <c r="J4" s="467"/>
      <c r="K4" s="467"/>
      <c r="L4" s="468"/>
      <c r="M4" s="138"/>
      <c r="N4" s="466" t="s">
        <v>184</v>
      </c>
      <c r="O4" s="467"/>
      <c r="P4" s="467"/>
      <c r="Q4" s="468"/>
      <c r="R4" s="13"/>
      <c r="S4" s="13"/>
      <c r="T4" s="13"/>
      <c r="U4" s="139"/>
      <c r="V4" s="139"/>
      <c r="W4" s="139"/>
      <c r="X4" s="14"/>
      <c r="Y4" s="14"/>
      <c r="Z4" s="14"/>
      <c r="AA4" s="14"/>
      <c r="AB4" s="14"/>
      <c r="AC4" s="14"/>
      <c r="AD4" s="14"/>
      <c r="AE4" s="14"/>
      <c r="AF4" s="14"/>
      <c r="AG4" s="14"/>
      <c r="AH4" s="67"/>
      <c r="AJ4" s="67"/>
      <c r="AK4" s="67"/>
      <c r="AL4" s="67"/>
      <c r="AM4" s="67"/>
      <c r="AN4" s="67"/>
      <c r="AO4" s="67"/>
      <c r="AP4" s="67"/>
      <c r="AQ4" s="67"/>
      <c r="AR4" s="67"/>
      <c r="AS4" s="67"/>
      <c r="AT4" s="67"/>
      <c r="AU4" s="67"/>
      <c r="AV4" s="67"/>
      <c r="AW4" s="67"/>
      <c r="AX4" s="67"/>
    </row>
    <row r="5" spans="1:50">
      <c r="A5" s="13"/>
      <c r="C5" s="14"/>
      <c r="D5" s="14"/>
      <c r="E5" s="14"/>
      <c r="F5" s="14"/>
      <c r="G5" s="14"/>
      <c r="H5" s="14"/>
      <c r="I5" s="18"/>
      <c r="J5" s="18"/>
      <c r="K5" s="18"/>
      <c r="L5" s="18"/>
      <c r="M5" s="19"/>
      <c r="N5" s="18"/>
      <c r="O5" s="18"/>
      <c r="P5" s="18"/>
      <c r="Q5" s="18"/>
      <c r="R5" s="13"/>
      <c r="S5" s="13"/>
      <c r="T5" s="13"/>
      <c r="U5" s="14"/>
      <c r="V5" s="18"/>
      <c r="W5" s="18"/>
      <c r="X5" s="14"/>
      <c r="Y5" s="14"/>
      <c r="Z5" s="14"/>
      <c r="AA5" s="14"/>
      <c r="AB5" s="14"/>
      <c r="AC5" s="14"/>
      <c r="AD5" s="14"/>
      <c r="AE5" s="14"/>
      <c r="AF5" s="14"/>
      <c r="AG5" s="14"/>
      <c r="AH5" s="67"/>
      <c r="AI5" s="67"/>
      <c r="AJ5" s="67"/>
      <c r="AK5" s="67"/>
      <c r="AL5" s="67"/>
      <c r="AM5" s="67"/>
      <c r="AN5" s="67"/>
      <c r="AO5" s="67"/>
      <c r="AP5" s="67"/>
      <c r="AQ5" s="67"/>
      <c r="AR5" s="67"/>
      <c r="AS5" s="67"/>
      <c r="AT5" s="67"/>
      <c r="AU5" s="67"/>
      <c r="AV5" s="67"/>
      <c r="AW5" s="67"/>
      <c r="AX5" s="67"/>
    </row>
    <row r="6" spans="1:50" ht="22" customHeight="1">
      <c r="A6" s="13"/>
      <c r="B6" s="14"/>
      <c r="C6" s="14"/>
      <c r="D6" s="14"/>
      <c r="E6" s="14"/>
      <c r="F6" s="14"/>
      <c r="G6" s="14"/>
      <c r="H6" s="14"/>
      <c r="I6" s="466" t="s">
        <v>183</v>
      </c>
      <c r="J6" s="467"/>
      <c r="K6" s="467"/>
      <c r="L6" s="468"/>
      <c r="M6" s="19"/>
      <c r="N6" s="466" t="s">
        <v>185</v>
      </c>
      <c r="O6" s="467"/>
      <c r="P6" s="467"/>
      <c r="Q6" s="468"/>
      <c r="R6" s="13"/>
      <c r="S6" s="13"/>
      <c r="T6" s="13"/>
      <c r="U6" s="139"/>
      <c r="V6" s="139"/>
      <c r="W6" s="139"/>
      <c r="X6" s="14"/>
      <c r="Y6" s="14"/>
      <c r="Z6" s="14"/>
      <c r="AA6" s="14"/>
      <c r="AB6" s="14"/>
      <c r="AC6" s="14"/>
      <c r="AD6" s="14"/>
      <c r="AE6" s="14"/>
      <c r="AF6" s="14"/>
      <c r="AG6" s="14"/>
      <c r="AH6" s="65"/>
      <c r="AI6" s="65" t="s">
        <v>45</v>
      </c>
      <c r="AJ6" s="65"/>
      <c r="AK6" s="65"/>
      <c r="AL6" s="65"/>
      <c r="AM6" s="65"/>
      <c r="AN6" s="65"/>
      <c r="AO6" s="65"/>
      <c r="AP6" s="65"/>
      <c r="AQ6" s="65"/>
      <c r="AR6" s="65"/>
      <c r="AS6" s="65"/>
      <c r="AT6" s="65"/>
      <c r="AU6" s="65"/>
      <c r="AV6" s="65"/>
      <c r="AW6" s="65"/>
      <c r="AX6" s="15"/>
    </row>
    <row r="7" spans="1:50" ht="15.5">
      <c r="A7" s="13"/>
      <c r="B7" s="12" t="s">
        <v>78</v>
      </c>
      <c r="C7" s="14"/>
      <c r="D7" s="14"/>
      <c r="E7" s="14"/>
      <c r="F7" s="14"/>
      <c r="G7" s="14"/>
      <c r="I7" s="13"/>
      <c r="J7" s="13"/>
      <c r="K7" s="13"/>
      <c r="L7" s="13"/>
      <c r="M7" s="13"/>
      <c r="N7" s="13"/>
      <c r="O7" s="13"/>
      <c r="P7" s="13"/>
      <c r="R7" s="14"/>
      <c r="S7" s="14"/>
      <c r="T7" s="14"/>
      <c r="U7" s="14"/>
      <c r="V7" s="14"/>
      <c r="W7" s="14"/>
      <c r="X7" s="14"/>
      <c r="Y7" s="14"/>
      <c r="Z7" s="14"/>
      <c r="AA7" s="14"/>
      <c r="AB7" s="14"/>
      <c r="AC7" s="14"/>
      <c r="AD7" s="14"/>
      <c r="AE7" s="14"/>
      <c r="AF7" s="14"/>
      <c r="AG7" s="14"/>
      <c r="AH7" s="142" t="s">
        <v>32</v>
      </c>
      <c r="AI7" s="143"/>
      <c r="AJ7" s="144"/>
      <c r="AK7" s="144"/>
      <c r="AL7" s="144"/>
      <c r="AM7" s="144"/>
      <c r="AN7" s="144"/>
      <c r="AO7" s="144"/>
      <c r="AP7" s="144"/>
      <c r="AQ7" s="144"/>
      <c r="AR7" s="144"/>
      <c r="AS7" s="144"/>
      <c r="AT7" s="144"/>
      <c r="AU7" s="144"/>
      <c r="AV7" s="144"/>
      <c r="AW7" s="145"/>
      <c r="AX7" s="15"/>
    </row>
    <row r="8" spans="1:50" ht="38.25" customHeight="1">
      <c r="A8" s="13"/>
      <c r="B8" s="14"/>
      <c r="C8" s="14"/>
      <c r="D8" s="146" t="s">
        <v>39</v>
      </c>
      <c r="E8" s="238" t="s">
        <v>226</v>
      </c>
      <c r="F8" s="13"/>
      <c r="G8" s="146" t="s">
        <v>225</v>
      </c>
      <c r="H8" s="147" t="s">
        <v>53</v>
      </c>
      <c r="I8" s="148" t="s">
        <v>191</v>
      </c>
      <c r="J8" s="148" t="s">
        <v>192</v>
      </c>
      <c r="K8" s="147" t="s">
        <v>193</v>
      </c>
      <c r="L8" s="147" t="s">
        <v>194</v>
      </c>
      <c r="M8" s="147" t="s">
        <v>20</v>
      </c>
      <c r="N8" s="147" t="s">
        <v>21</v>
      </c>
      <c r="O8" s="147" t="s">
        <v>22</v>
      </c>
      <c r="P8" s="147" t="s">
        <v>195</v>
      </c>
      <c r="Q8" s="147" t="s">
        <v>23</v>
      </c>
      <c r="R8" s="147" t="s">
        <v>24</v>
      </c>
      <c r="S8" s="147" t="s">
        <v>27</v>
      </c>
      <c r="T8" s="147" t="s">
        <v>28</v>
      </c>
      <c r="U8" s="147" t="s">
        <v>29</v>
      </c>
      <c r="V8" s="147" t="s">
        <v>30</v>
      </c>
      <c r="W8" s="147" t="s">
        <v>31</v>
      </c>
      <c r="X8" s="149"/>
      <c r="Y8" s="149"/>
      <c r="Z8" s="149"/>
      <c r="AA8" s="149"/>
      <c r="AB8" s="149"/>
      <c r="AC8" s="149"/>
      <c r="AD8" s="149"/>
      <c r="AE8" s="149"/>
      <c r="AF8" s="149"/>
      <c r="AG8" s="14"/>
      <c r="AH8" s="95"/>
      <c r="AI8" s="150" t="s">
        <v>4</v>
      </c>
      <c r="AJ8" s="151" t="s">
        <v>5</v>
      </c>
      <c r="AK8" s="151" t="s">
        <v>6</v>
      </c>
      <c r="AL8" s="151" t="s">
        <v>7</v>
      </c>
      <c r="AM8" s="151" t="s">
        <v>8</v>
      </c>
      <c r="AN8" s="151" t="s">
        <v>9</v>
      </c>
      <c r="AO8" s="151" t="s">
        <v>10</v>
      </c>
      <c r="AP8" s="151" t="s">
        <v>11</v>
      </c>
      <c r="AQ8" s="151" t="s">
        <v>12</v>
      </c>
      <c r="AR8" s="151" t="s">
        <v>13</v>
      </c>
      <c r="AS8" s="151" t="s">
        <v>14</v>
      </c>
      <c r="AT8" s="151" t="s">
        <v>15</v>
      </c>
      <c r="AU8" s="151" t="s">
        <v>16</v>
      </c>
      <c r="AV8" s="151" t="s">
        <v>17</v>
      </c>
      <c r="AW8" s="152" t="s">
        <v>18</v>
      </c>
      <c r="AX8" s="15"/>
    </row>
    <row r="9" spans="1:50" ht="15.5">
      <c r="A9" s="13"/>
      <c r="B9" s="14"/>
      <c r="C9" s="14"/>
      <c r="D9" s="14"/>
      <c r="E9" s="14"/>
      <c r="F9" s="13"/>
      <c r="G9" s="153" t="s">
        <v>38</v>
      </c>
      <c r="H9" s="14"/>
      <c r="I9" s="14"/>
      <c r="J9" s="14"/>
      <c r="K9" s="14"/>
      <c r="L9" s="14"/>
      <c r="M9" s="14"/>
      <c r="N9" s="14"/>
      <c r="O9" s="14"/>
      <c r="P9" s="14"/>
      <c r="Q9" s="14"/>
      <c r="R9" s="14"/>
      <c r="S9" s="14"/>
      <c r="T9" s="14"/>
      <c r="U9" s="14"/>
      <c r="V9" s="14"/>
      <c r="W9" s="14"/>
      <c r="X9" s="14"/>
      <c r="Y9" s="14"/>
      <c r="Z9" s="14"/>
      <c r="AA9" s="14"/>
      <c r="AB9" s="14"/>
      <c r="AC9" s="14"/>
      <c r="AD9" s="14"/>
      <c r="AE9" s="14"/>
      <c r="AF9" s="14"/>
      <c r="AG9" s="14"/>
      <c r="AH9" s="95"/>
      <c r="AI9" s="150"/>
      <c r="AJ9" s="151"/>
      <c r="AK9" s="151"/>
      <c r="AL9" s="151"/>
      <c r="AM9" s="151"/>
      <c r="AN9" s="151"/>
      <c r="AO9" s="151"/>
      <c r="AP9" s="151"/>
      <c r="AQ9" s="151"/>
      <c r="AR9" s="151"/>
      <c r="AS9" s="151"/>
      <c r="AT9" s="151"/>
      <c r="AU9" s="151"/>
      <c r="AV9" s="151"/>
      <c r="AW9" s="152"/>
      <c r="AX9" s="15"/>
    </row>
    <row r="10" spans="1:50" ht="16.5">
      <c r="A10" s="13"/>
      <c r="B10" s="504" t="s">
        <v>80</v>
      </c>
      <c r="C10" s="505"/>
      <c r="D10" s="154">
        <v>65</v>
      </c>
      <c r="E10" s="155" t="s">
        <v>196</v>
      </c>
      <c r="F10" s="128"/>
      <c r="G10" s="156">
        <v>1.39</v>
      </c>
      <c r="H10" s="157">
        <v>0.72299999999999998</v>
      </c>
      <c r="I10" s="158">
        <f>$D10*14.007/63.015</f>
        <v>14.448226612711258</v>
      </c>
      <c r="J10" s="158"/>
      <c r="K10" s="158"/>
      <c r="L10" s="158"/>
      <c r="M10" s="158"/>
      <c r="N10" s="158"/>
      <c r="O10" s="158"/>
      <c r="P10" s="158"/>
      <c r="Q10" s="158"/>
      <c r="R10" s="158"/>
      <c r="S10" s="158"/>
      <c r="T10" s="158"/>
      <c r="U10" s="158"/>
      <c r="V10" s="158"/>
      <c r="W10" s="158"/>
      <c r="X10" s="159"/>
      <c r="Y10" s="159"/>
      <c r="Z10" s="159"/>
      <c r="AA10" s="159"/>
      <c r="AB10" s="159"/>
      <c r="AC10" s="159"/>
      <c r="AD10" s="159"/>
      <c r="AE10" s="159"/>
      <c r="AF10" s="159"/>
      <c r="AG10" s="14"/>
      <c r="AH10" s="160" t="str">
        <f>B10</f>
        <v>Nitric acid</v>
      </c>
      <c r="AI10" s="161">
        <f>I10/14.007/100</f>
        <v>1.0315004364040307E-2</v>
      </c>
      <c r="AJ10" s="151"/>
      <c r="AK10" s="151"/>
      <c r="AL10" s="151"/>
      <c r="AM10" s="151"/>
      <c r="AN10" s="151"/>
      <c r="AO10" s="151"/>
      <c r="AP10" s="151"/>
      <c r="AQ10" s="151"/>
      <c r="AR10" s="151"/>
      <c r="AS10" s="151"/>
      <c r="AT10" s="151"/>
      <c r="AU10" s="151"/>
      <c r="AV10" s="151"/>
      <c r="AW10" s="152"/>
      <c r="AX10" s="15"/>
    </row>
    <row r="11" spans="1:50" ht="16.5">
      <c r="A11" s="13"/>
      <c r="B11" s="506" t="s">
        <v>79</v>
      </c>
      <c r="C11" s="507"/>
      <c r="D11" s="162">
        <v>85</v>
      </c>
      <c r="E11" s="155" t="s">
        <v>197</v>
      </c>
      <c r="F11" s="128"/>
      <c r="G11" s="163">
        <v>1.6890000000000001</v>
      </c>
      <c r="H11" s="164">
        <v>1.431</v>
      </c>
      <c r="I11" s="158"/>
      <c r="J11" s="158"/>
      <c r="K11" s="158">
        <f>($D11*30.974/97.998)*2.291</f>
        <v>61.549438662013507</v>
      </c>
      <c r="L11" s="158"/>
      <c r="M11" s="158"/>
      <c r="N11" s="158"/>
      <c r="O11" s="158"/>
      <c r="P11" s="158"/>
      <c r="Q11" s="158"/>
      <c r="R11" s="158"/>
      <c r="S11" s="158"/>
      <c r="T11" s="158"/>
      <c r="U11" s="158"/>
      <c r="V11" s="158"/>
      <c r="W11" s="158"/>
      <c r="X11" s="159"/>
      <c r="Y11" s="159"/>
      <c r="Z11" s="159"/>
      <c r="AA11" s="159"/>
      <c r="AB11" s="159"/>
      <c r="AC11" s="159"/>
      <c r="AD11" s="159"/>
      <c r="AE11" s="159"/>
      <c r="AF11" s="159"/>
      <c r="AG11" s="14"/>
      <c r="AH11" s="160" t="str">
        <f>B11</f>
        <v>Phosphoric acid</v>
      </c>
      <c r="AI11" s="150"/>
      <c r="AJ11" s="151"/>
      <c r="AK11" s="165">
        <f>K11*0.4364/30.974/100</f>
        <v>8.6718457519541214E-3</v>
      </c>
      <c r="AL11" s="151"/>
      <c r="AM11" s="151"/>
      <c r="AN11" s="151"/>
      <c r="AO11" s="151"/>
      <c r="AP11" s="151"/>
      <c r="AQ11" s="151"/>
      <c r="AR11" s="151"/>
      <c r="AS11" s="151"/>
      <c r="AT11" s="151"/>
      <c r="AU11" s="151"/>
      <c r="AV11" s="151"/>
      <c r="AW11" s="152"/>
      <c r="AX11" s="15"/>
    </row>
    <row r="12" spans="1:50" ht="16.5">
      <c r="A12" s="13"/>
      <c r="B12" s="504" t="s">
        <v>81</v>
      </c>
      <c r="C12" s="505"/>
      <c r="D12" s="166">
        <v>96</v>
      </c>
      <c r="E12" s="155" t="s">
        <v>198</v>
      </c>
      <c r="F12" s="128"/>
      <c r="G12" s="156">
        <v>1.84</v>
      </c>
      <c r="H12" s="167">
        <v>0.47499999999999998</v>
      </c>
      <c r="I12" s="158"/>
      <c r="J12" s="158"/>
      <c r="K12" s="158"/>
      <c r="L12" s="158"/>
      <c r="M12" s="158"/>
      <c r="N12" s="158"/>
      <c r="O12" s="158"/>
      <c r="P12" s="158">
        <f>($D12*32.064/98.08)*2.497</f>
        <v>78.365880587275697</v>
      </c>
      <c r="Q12" s="158"/>
      <c r="R12" s="158"/>
      <c r="S12" s="158"/>
      <c r="T12" s="158"/>
      <c r="U12" s="158"/>
      <c r="V12" s="158"/>
      <c r="W12" s="158"/>
      <c r="X12" s="159"/>
      <c r="Y12" s="159"/>
      <c r="Z12" s="159"/>
      <c r="AA12" s="159"/>
      <c r="AB12" s="159"/>
      <c r="AC12" s="159"/>
      <c r="AD12" s="159"/>
      <c r="AE12" s="159"/>
      <c r="AF12" s="159"/>
      <c r="AG12" s="14"/>
      <c r="AH12" s="160" t="str">
        <f>B12</f>
        <v>Sulphuric acid</v>
      </c>
      <c r="AI12" s="150"/>
      <c r="AJ12" s="151"/>
      <c r="AK12" s="151"/>
      <c r="AL12" s="151"/>
      <c r="AM12" s="151"/>
      <c r="AN12" s="151"/>
      <c r="AO12" s="151"/>
      <c r="AP12" s="165">
        <f>D12/98.08/100</f>
        <v>9.7879282218597055E-3</v>
      </c>
      <c r="AQ12" s="151"/>
      <c r="AR12" s="151"/>
      <c r="AS12" s="151"/>
      <c r="AT12" s="151"/>
      <c r="AU12" s="151"/>
      <c r="AV12" s="151"/>
      <c r="AW12" s="152"/>
      <c r="AX12" s="15"/>
    </row>
    <row r="13" spans="1:50" ht="15.5">
      <c r="A13" s="13"/>
      <c r="B13" s="506" t="s">
        <v>82</v>
      </c>
      <c r="C13" s="507"/>
      <c r="D13" s="162">
        <v>36.5</v>
      </c>
      <c r="E13" s="155" t="s">
        <v>37</v>
      </c>
      <c r="F13" s="128"/>
      <c r="G13" s="163">
        <v>1.1859999999999999</v>
      </c>
      <c r="H13" s="164">
        <v>0.5</v>
      </c>
      <c r="I13" s="158"/>
      <c r="J13" s="158"/>
      <c r="K13" s="158"/>
      <c r="L13" s="158"/>
      <c r="M13" s="158"/>
      <c r="N13" s="158"/>
      <c r="O13" s="158"/>
      <c r="P13" s="158"/>
      <c r="Q13" s="158">
        <f>$D13*35.453/36.461</f>
        <v>35.490921806862133</v>
      </c>
      <c r="R13" s="158"/>
      <c r="S13" s="158"/>
      <c r="T13" s="158"/>
      <c r="U13" s="158"/>
      <c r="V13" s="158"/>
      <c r="W13" s="158"/>
      <c r="X13" s="159"/>
      <c r="Y13" s="159"/>
      <c r="Z13" s="159"/>
      <c r="AA13" s="159"/>
      <c r="AB13" s="159"/>
      <c r="AC13" s="159"/>
      <c r="AD13" s="159"/>
      <c r="AE13" s="159"/>
      <c r="AF13" s="159"/>
      <c r="AG13" s="14"/>
      <c r="AH13" s="160" t="str">
        <f>B13</f>
        <v>Chloridric acid</v>
      </c>
      <c r="AI13" s="150"/>
      <c r="AJ13" s="151"/>
      <c r="AK13" s="151"/>
      <c r="AL13" s="151"/>
      <c r="AM13" s="151"/>
      <c r="AN13" s="151"/>
      <c r="AO13" s="151"/>
      <c r="AP13" s="151"/>
      <c r="AQ13" s="161">
        <f>Q13/45.453/100</f>
        <v>7.8082682786311417E-3</v>
      </c>
      <c r="AR13" s="151"/>
      <c r="AS13" s="151"/>
      <c r="AT13" s="151"/>
      <c r="AU13" s="151"/>
      <c r="AV13" s="151"/>
      <c r="AW13" s="152"/>
      <c r="AX13" s="15"/>
    </row>
    <row r="14" spans="1:50" ht="15.75" customHeight="1">
      <c r="A14" s="13"/>
      <c r="B14" s="168"/>
      <c r="C14" s="168"/>
      <c r="D14" s="168"/>
      <c r="E14" s="169"/>
      <c r="F14" s="128"/>
      <c r="G14" s="168"/>
      <c r="H14" s="170"/>
      <c r="I14" s="170"/>
      <c r="J14" s="171"/>
      <c r="K14" s="171"/>
      <c r="L14" s="171"/>
      <c r="M14" s="171"/>
      <c r="N14" s="171"/>
      <c r="O14" s="171"/>
      <c r="P14" s="172"/>
      <c r="Q14" s="172"/>
      <c r="R14" s="170"/>
      <c r="S14" s="170"/>
      <c r="T14" s="170"/>
      <c r="U14" s="170"/>
      <c r="V14" s="170"/>
      <c r="W14" s="170"/>
      <c r="X14" s="14"/>
      <c r="Y14" s="14"/>
      <c r="Z14" s="14"/>
      <c r="AA14" s="14"/>
      <c r="AB14" s="14"/>
      <c r="AC14" s="14"/>
      <c r="AD14" s="14"/>
      <c r="AE14" s="14"/>
      <c r="AF14" s="14"/>
      <c r="AG14" s="14"/>
      <c r="AH14" s="78"/>
      <c r="AI14" s="150"/>
      <c r="AJ14" s="151"/>
      <c r="AK14" s="151"/>
      <c r="AL14" s="151"/>
      <c r="AM14" s="151"/>
      <c r="AN14" s="151"/>
      <c r="AO14" s="151"/>
      <c r="AP14" s="151"/>
      <c r="AQ14" s="151"/>
      <c r="AR14" s="151"/>
      <c r="AS14" s="151"/>
      <c r="AT14" s="151"/>
      <c r="AU14" s="151"/>
      <c r="AV14" s="151"/>
      <c r="AW14" s="152"/>
      <c r="AX14" s="15"/>
    </row>
    <row r="15" spans="1:50" s="1" customFormat="1" ht="24" customHeight="1">
      <c r="A15" s="4"/>
      <c r="B15" s="514" t="s">
        <v>227</v>
      </c>
      <c r="C15" s="514"/>
      <c r="D15" s="514"/>
      <c r="E15" s="440"/>
      <c r="F15" s="10"/>
      <c r="G15" s="173"/>
      <c r="H15" s="174" t="s">
        <v>48</v>
      </c>
      <c r="I15" s="175" t="s">
        <v>191</v>
      </c>
      <c r="J15" s="175" t="s">
        <v>192</v>
      </c>
      <c r="K15" s="147" t="s">
        <v>193</v>
      </c>
      <c r="L15" s="147" t="s">
        <v>194</v>
      </c>
      <c r="M15" s="147" t="s">
        <v>20</v>
      </c>
      <c r="N15" s="147" t="s">
        <v>21</v>
      </c>
      <c r="O15" s="147" t="s">
        <v>22</v>
      </c>
      <c r="P15" s="147" t="s">
        <v>195</v>
      </c>
      <c r="Q15" s="174" t="s">
        <v>23</v>
      </c>
      <c r="R15" s="174" t="s">
        <v>24</v>
      </c>
      <c r="S15" s="174" t="s">
        <v>27</v>
      </c>
      <c r="T15" s="174" t="s">
        <v>28</v>
      </c>
      <c r="U15" s="174" t="s">
        <v>29</v>
      </c>
      <c r="V15" s="174" t="s">
        <v>30</v>
      </c>
      <c r="W15" s="174" t="s">
        <v>31</v>
      </c>
      <c r="X15" s="149"/>
      <c r="Y15" s="149"/>
      <c r="Z15" s="149"/>
      <c r="AA15" s="149"/>
      <c r="AB15" s="149"/>
      <c r="AC15" s="149"/>
      <c r="AD15" s="149"/>
      <c r="AE15" s="149"/>
      <c r="AF15" s="149"/>
      <c r="AG15" s="3"/>
      <c r="AH15" s="176" t="s">
        <v>33</v>
      </c>
      <c r="AI15" s="150" t="s">
        <v>4</v>
      </c>
      <c r="AJ15" s="151" t="s">
        <v>5</v>
      </c>
      <c r="AK15" s="151" t="s">
        <v>6</v>
      </c>
      <c r="AL15" s="151" t="s">
        <v>7</v>
      </c>
      <c r="AM15" s="151" t="s">
        <v>8</v>
      </c>
      <c r="AN15" s="151" t="s">
        <v>9</v>
      </c>
      <c r="AO15" s="151" t="s">
        <v>10</v>
      </c>
      <c r="AP15" s="151" t="s">
        <v>11</v>
      </c>
      <c r="AQ15" s="151" t="s">
        <v>12</v>
      </c>
      <c r="AR15" s="151" t="s">
        <v>13</v>
      </c>
      <c r="AS15" s="151" t="s">
        <v>14</v>
      </c>
      <c r="AT15" s="151" t="s">
        <v>15</v>
      </c>
      <c r="AU15" s="151" t="s">
        <v>16</v>
      </c>
      <c r="AV15" s="151" t="s">
        <v>17</v>
      </c>
      <c r="AW15" s="152" t="s">
        <v>18</v>
      </c>
      <c r="AX15" s="2"/>
    </row>
    <row r="16" spans="1:50" ht="15.5">
      <c r="A16" s="13"/>
      <c r="B16" s="504" t="s">
        <v>83</v>
      </c>
      <c r="C16" s="509"/>
      <c r="D16" s="505"/>
      <c r="E16" s="177"/>
      <c r="F16" s="128"/>
      <c r="G16" s="177"/>
      <c r="H16" s="157"/>
      <c r="I16" s="27"/>
      <c r="J16" s="27"/>
      <c r="K16" s="27"/>
      <c r="L16" s="27"/>
      <c r="M16" s="27"/>
      <c r="N16" s="27"/>
      <c r="O16" s="27"/>
      <c r="P16" s="27"/>
      <c r="Q16" s="27"/>
      <c r="R16" s="178"/>
      <c r="S16" s="178"/>
      <c r="T16" s="178"/>
      <c r="U16" s="178"/>
      <c r="V16" s="178"/>
      <c r="W16" s="178"/>
      <c r="X16" s="43"/>
      <c r="Y16" s="43"/>
      <c r="Z16" s="43"/>
      <c r="AA16" s="43"/>
      <c r="AB16" s="43"/>
      <c r="AC16" s="43"/>
      <c r="AD16" s="43"/>
      <c r="AE16" s="43"/>
      <c r="AF16" s="43"/>
      <c r="AG16" s="14"/>
      <c r="AH16" s="160" t="str">
        <f>B16</f>
        <v>Water Soluble Fertilizer  1</v>
      </c>
      <c r="AI16" s="179">
        <f t="shared" ref="AI16:AJ18" si="0">I16/14.007/100</f>
        <v>0</v>
      </c>
      <c r="AJ16" s="165">
        <f t="shared" si="0"/>
        <v>0</v>
      </c>
      <c r="AK16" s="165">
        <f>K16*0.4364/30.974/100</f>
        <v>0</v>
      </c>
      <c r="AL16" s="165">
        <f>L16*0.83/39.1/100</f>
        <v>0</v>
      </c>
      <c r="AM16" s="165">
        <f>M16*0.715/40.08/100</f>
        <v>0</v>
      </c>
      <c r="AN16" s="165">
        <f>N16*0.603/24.312/100</f>
        <v>0</v>
      </c>
      <c r="AO16" s="165">
        <f>O16/22.9898/100</f>
        <v>0</v>
      </c>
      <c r="AP16" s="165">
        <f>P16*0.4/32.064/100</f>
        <v>0</v>
      </c>
      <c r="AQ16" s="165">
        <f>Q16/35.453/100</f>
        <v>0</v>
      </c>
      <c r="AR16" s="165">
        <f>R16/55.85/100</f>
        <v>0</v>
      </c>
      <c r="AS16" s="165">
        <f>S16/10.8/100</f>
        <v>0</v>
      </c>
      <c r="AT16" s="165">
        <f>T16/63.55/100</f>
        <v>0</v>
      </c>
      <c r="AU16" s="165">
        <f>U16/65.38/100</f>
        <v>0</v>
      </c>
      <c r="AV16" s="165">
        <f>V16/54.94/100</f>
        <v>0</v>
      </c>
      <c r="AW16" s="180">
        <f>W16/95.95/100</f>
        <v>0</v>
      </c>
      <c r="AX16" s="15"/>
    </row>
    <row r="17" spans="1:50" ht="15.5">
      <c r="A17" s="13"/>
      <c r="B17" s="506" t="s">
        <v>84</v>
      </c>
      <c r="C17" s="508"/>
      <c r="D17" s="507"/>
      <c r="E17" s="177"/>
      <c r="F17" s="128"/>
      <c r="G17" s="177"/>
      <c r="H17" s="164"/>
      <c r="I17" s="181"/>
      <c r="J17" s="181"/>
      <c r="K17" s="181"/>
      <c r="L17" s="181"/>
      <c r="M17" s="181"/>
      <c r="N17" s="181"/>
      <c r="O17" s="181"/>
      <c r="P17" s="181"/>
      <c r="Q17" s="181"/>
      <c r="R17" s="182"/>
      <c r="S17" s="182"/>
      <c r="T17" s="182"/>
      <c r="U17" s="182"/>
      <c r="V17" s="182"/>
      <c r="W17" s="182"/>
      <c r="X17" s="43"/>
      <c r="Y17" s="43"/>
      <c r="Z17" s="43"/>
      <c r="AA17" s="43"/>
      <c r="AB17" s="43"/>
      <c r="AC17" s="43"/>
      <c r="AD17" s="43"/>
      <c r="AE17" s="43"/>
      <c r="AF17" s="43"/>
      <c r="AG17" s="14"/>
      <c r="AH17" s="160" t="str">
        <f>B17</f>
        <v>Water Soluble Fertilizer 2</v>
      </c>
      <c r="AI17" s="179">
        <f t="shared" si="0"/>
        <v>0</v>
      </c>
      <c r="AJ17" s="165">
        <f t="shared" si="0"/>
        <v>0</v>
      </c>
      <c r="AK17" s="165">
        <f>K17*0.4364/30.974/100</f>
        <v>0</v>
      </c>
      <c r="AL17" s="165">
        <f>L17*0.83/39.1/100</f>
        <v>0</v>
      </c>
      <c r="AM17" s="165">
        <f>M17*0.715/40.08/100</f>
        <v>0</v>
      </c>
      <c r="AN17" s="165">
        <f>N17*0.603/24.312/100</f>
        <v>0</v>
      </c>
      <c r="AO17" s="165">
        <f>O17/22.9898/100</f>
        <v>0</v>
      </c>
      <c r="AP17" s="165">
        <f>P17*0.4/32.064/100</f>
        <v>0</v>
      </c>
      <c r="AQ17" s="165">
        <f>Q17/35.453/100</f>
        <v>0</v>
      </c>
      <c r="AR17" s="165">
        <f>R17/55.85/100</f>
        <v>0</v>
      </c>
      <c r="AS17" s="165">
        <f>S17/10.8/100</f>
        <v>0</v>
      </c>
      <c r="AT17" s="165">
        <f>T17/63.55/100</f>
        <v>0</v>
      </c>
      <c r="AU17" s="165">
        <f>U17/65.38/100</f>
        <v>0</v>
      </c>
      <c r="AV17" s="165">
        <f>V17/54.94/100</f>
        <v>0</v>
      </c>
      <c r="AW17" s="180">
        <f>W17/95.95/100</f>
        <v>0</v>
      </c>
      <c r="AX17" s="15"/>
    </row>
    <row r="18" spans="1:50" ht="15.5">
      <c r="A18" s="13"/>
      <c r="B18" s="504" t="s">
        <v>85</v>
      </c>
      <c r="C18" s="509"/>
      <c r="D18" s="505"/>
      <c r="E18" s="183"/>
      <c r="F18" s="128"/>
      <c r="G18" s="177"/>
      <c r="H18" s="157"/>
      <c r="I18" s="27"/>
      <c r="J18" s="27"/>
      <c r="K18" s="27"/>
      <c r="L18" s="27"/>
      <c r="M18" s="27"/>
      <c r="N18" s="27"/>
      <c r="O18" s="27"/>
      <c r="P18" s="27"/>
      <c r="Q18" s="27"/>
      <c r="R18" s="178"/>
      <c r="S18" s="178"/>
      <c r="T18" s="178"/>
      <c r="U18" s="178"/>
      <c r="V18" s="178"/>
      <c r="W18" s="178"/>
      <c r="X18" s="43"/>
      <c r="Y18" s="43"/>
      <c r="Z18" s="43"/>
      <c r="AA18" s="43"/>
      <c r="AB18" s="43"/>
      <c r="AC18" s="43"/>
      <c r="AD18" s="43"/>
      <c r="AE18" s="43"/>
      <c r="AF18" s="43"/>
      <c r="AG18" s="14"/>
      <c r="AH18" s="160" t="str">
        <f>B18</f>
        <v>Water Soluble Fertilizer 3</v>
      </c>
      <c r="AI18" s="179">
        <f t="shared" si="0"/>
        <v>0</v>
      </c>
      <c r="AJ18" s="165">
        <f t="shared" si="0"/>
        <v>0</v>
      </c>
      <c r="AK18" s="165">
        <f>K18*0.4364/30.974/100</f>
        <v>0</v>
      </c>
      <c r="AL18" s="165">
        <f>L18*0.83/39.1/100</f>
        <v>0</v>
      </c>
      <c r="AM18" s="165">
        <f>M18*0.715/40.08/100</f>
        <v>0</v>
      </c>
      <c r="AN18" s="165">
        <f>N18*0.603/24.312/100</f>
        <v>0</v>
      </c>
      <c r="AO18" s="165">
        <f>O18/22.9898/100</f>
        <v>0</v>
      </c>
      <c r="AP18" s="165">
        <f>P18*0.4/32.064/100</f>
        <v>0</v>
      </c>
      <c r="AQ18" s="165">
        <f>Q18/35.453/100</f>
        <v>0</v>
      </c>
      <c r="AR18" s="165">
        <f>R18/55.85/100</f>
        <v>0</v>
      </c>
      <c r="AS18" s="165">
        <f>S18/10.8/100</f>
        <v>0</v>
      </c>
      <c r="AT18" s="165">
        <f>T18/63.55/100</f>
        <v>0</v>
      </c>
      <c r="AU18" s="165">
        <f>U18/65.38/100</f>
        <v>0</v>
      </c>
      <c r="AV18" s="165">
        <f>V18/54.94/100</f>
        <v>0</v>
      </c>
      <c r="AW18" s="180">
        <f>W18/95.95/100</f>
        <v>0</v>
      </c>
      <c r="AX18" s="15"/>
    </row>
    <row r="19" spans="1:50" ht="18">
      <c r="A19" s="13"/>
      <c r="B19" s="515" t="s">
        <v>86</v>
      </c>
      <c r="C19" s="515"/>
      <c r="D19" s="515"/>
      <c r="E19" s="184"/>
      <c r="F19" s="128"/>
      <c r="G19" s="170"/>
      <c r="H19" s="170"/>
      <c r="I19" s="185"/>
      <c r="J19" s="185"/>
      <c r="K19" s="185"/>
      <c r="L19" s="185"/>
      <c r="M19" s="185"/>
      <c r="N19" s="185"/>
      <c r="O19" s="185"/>
      <c r="P19" s="186"/>
      <c r="Q19" s="186"/>
      <c r="R19" s="186"/>
      <c r="S19" s="186"/>
      <c r="T19" s="186"/>
      <c r="U19" s="186"/>
      <c r="V19" s="186"/>
      <c r="W19" s="186"/>
      <c r="X19" s="187"/>
      <c r="Y19" s="187"/>
      <c r="Z19" s="187"/>
      <c r="AA19" s="187"/>
      <c r="AB19" s="187"/>
      <c r="AC19" s="187"/>
      <c r="AD19" s="187"/>
      <c r="AE19" s="187"/>
      <c r="AF19" s="187"/>
      <c r="AG19" s="14"/>
      <c r="AH19" s="142" t="s">
        <v>34</v>
      </c>
      <c r="AI19" s="150"/>
      <c r="AJ19" s="151"/>
      <c r="AK19" s="151"/>
      <c r="AL19" s="151"/>
      <c r="AM19" s="151"/>
      <c r="AN19" s="151"/>
      <c r="AO19" s="151"/>
      <c r="AP19" s="151"/>
      <c r="AQ19" s="151"/>
      <c r="AR19" s="151"/>
      <c r="AS19" s="151"/>
      <c r="AT19" s="151"/>
      <c r="AU19" s="151"/>
      <c r="AV19" s="151"/>
      <c r="AW19" s="152"/>
      <c r="AX19" s="15"/>
    </row>
    <row r="20" spans="1:50" ht="16">
      <c r="A20" s="13"/>
      <c r="B20" s="504" t="s">
        <v>93</v>
      </c>
      <c r="C20" s="509"/>
      <c r="D20" s="505"/>
      <c r="E20" s="510" t="s">
        <v>199</v>
      </c>
      <c r="F20" s="511"/>
      <c r="G20" s="177"/>
      <c r="H20" s="157">
        <v>0.3</v>
      </c>
      <c r="I20" s="27">
        <v>14.3</v>
      </c>
      <c r="J20" s="27">
        <v>1.3</v>
      </c>
      <c r="K20" s="27"/>
      <c r="L20" s="27"/>
      <c r="M20" s="27">
        <v>26</v>
      </c>
      <c r="N20" s="27"/>
      <c r="O20" s="27"/>
      <c r="P20" s="27"/>
      <c r="Q20" s="27"/>
      <c r="R20" s="188"/>
      <c r="S20" s="188"/>
      <c r="T20" s="188"/>
      <c r="U20" s="188"/>
      <c r="V20" s="188"/>
      <c r="W20" s="188"/>
      <c r="X20" s="43"/>
      <c r="Y20" s="43"/>
      <c r="Z20" s="43"/>
      <c r="AA20" s="43"/>
      <c r="AB20" s="43"/>
      <c r="AC20" s="43"/>
      <c r="AD20" s="43"/>
      <c r="AE20" s="43"/>
      <c r="AF20" s="43"/>
      <c r="AG20" s="14"/>
      <c r="AH20" s="160" t="str">
        <f>B20</f>
        <v xml:space="preserve">Calcium nitrate </v>
      </c>
      <c r="AI20" s="179">
        <f t="shared" ref="AI20:AJ22" si="1">I20/14.007/100</f>
        <v>1.0209181123723854E-2</v>
      </c>
      <c r="AJ20" s="165">
        <f t="shared" si="1"/>
        <v>9.2810737488398655E-4</v>
      </c>
      <c r="AK20" s="165">
        <f>K20*0.4364/30.974/100</f>
        <v>0</v>
      </c>
      <c r="AL20" s="165">
        <f>L20*0.83/39.1/100</f>
        <v>0</v>
      </c>
      <c r="AM20" s="165">
        <f>M20*0.715/40.08/100</f>
        <v>4.6382235528942117E-3</v>
      </c>
      <c r="AN20" s="165">
        <f>N20*0.603/24.312/100</f>
        <v>0</v>
      </c>
      <c r="AO20" s="165">
        <f>O20/22.9898/100</f>
        <v>0</v>
      </c>
      <c r="AP20" s="165">
        <f>P20*0.4/32.064/100</f>
        <v>0</v>
      </c>
      <c r="AQ20" s="165">
        <f>Q20/35.453/100</f>
        <v>0</v>
      </c>
      <c r="AR20" s="165">
        <f>R20/55.85/100</f>
        <v>0</v>
      </c>
      <c r="AS20" s="165">
        <f>S20/10.8/100</f>
        <v>0</v>
      </c>
      <c r="AT20" s="165">
        <f>T20/63.55/100</f>
        <v>0</v>
      </c>
      <c r="AU20" s="165">
        <f>U20/65.38/100</f>
        <v>0</v>
      </c>
      <c r="AV20" s="165">
        <f>V20/54.94/100</f>
        <v>0</v>
      </c>
      <c r="AW20" s="180">
        <f>W20/95.95/100</f>
        <v>0</v>
      </c>
      <c r="AX20" s="15"/>
    </row>
    <row r="21" spans="1:50" ht="16.5">
      <c r="A21" s="13"/>
      <c r="B21" s="506" t="s">
        <v>94</v>
      </c>
      <c r="C21" s="508"/>
      <c r="D21" s="507"/>
      <c r="E21" s="512" t="s">
        <v>200</v>
      </c>
      <c r="F21" s="513"/>
      <c r="G21" s="177"/>
      <c r="H21" s="164">
        <v>0.29799999999999999</v>
      </c>
      <c r="I21" s="181">
        <v>11.9</v>
      </c>
      <c r="J21" s="181"/>
      <c r="K21" s="181"/>
      <c r="L21" s="181"/>
      <c r="M21" s="181">
        <v>23.8</v>
      </c>
      <c r="N21" s="181"/>
      <c r="O21" s="181"/>
      <c r="P21" s="181"/>
      <c r="Q21" s="181"/>
      <c r="R21" s="189"/>
      <c r="S21" s="189"/>
      <c r="T21" s="189"/>
      <c r="U21" s="189"/>
      <c r="V21" s="189"/>
      <c r="W21" s="189"/>
      <c r="X21" s="43"/>
      <c r="Y21" s="43"/>
      <c r="Z21" s="43"/>
      <c r="AA21" s="43"/>
      <c r="AB21" s="43"/>
      <c r="AC21" s="43"/>
      <c r="AD21" s="43"/>
      <c r="AE21" s="43"/>
      <c r="AF21" s="43"/>
      <c r="AG21" s="14"/>
      <c r="AH21" s="160" t="str">
        <f>B21</f>
        <v xml:space="preserve">Calcium nitrate reagent pure </v>
      </c>
      <c r="AI21" s="179">
        <f t="shared" si="1"/>
        <v>8.4957521239380322E-3</v>
      </c>
      <c r="AJ21" s="165">
        <f t="shared" si="1"/>
        <v>0</v>
      </c>
      <c r="AK21" s="165">
        <f>K21*0.4364/30.974/100</f>
        <v>0</v>
      </c>
      <c r="AL21" s="165">
        <f>L21*0.83/39.1/100</f>
        <v>0</v>
      </c>
      <c r="AM21" s="165">
        <f>M21*0.715/40.08/100</f>
        <v>4.2457584830339319E-3</v>
      </c>
      <c r="AN21" s="165">
        <f>N21*0.603/24.312/100</f>
        <v>0</v>
      </c>
      <c r="AO21" s="165">
        <f>O21/22.9898/100</f>
        <v>0</v>
      </c>
      <c r="AP21" s="165">
        <f>P21*0.4/32.064/100</f>
        <v>0</v>
      </c>
      <c r="AQ21" s="165">
        <f>Q21/35.453/100</f>
        <v>0</v>
      </c>
      <c r="AR21" s="165">
        <f>R21/55.85/100</f>
        <v>0</v>
      </c>
      <c r="AS21" s="165">
        <f>S21/10.8/100</f>
        <v>0</v>
      </c>
      <c r="AT21" s="165">
        <f>T21/63.55/100</f>
        <v>0</v>
      </c>
      <c r="AU21" s="165">
        <f>U21/65.38/100</f>
        <v>0</v>
      </c>
      <c r="AV21" s="165">
        <f>V21/54.94/100</f>
        <v>0</v>
      </c>
      <c r="AW21" s="180">
        <f>W21/95.95/100</f>
        <v>0</v>
      </c>
      <c r="AX21" s="15"/>
    </row>
    <row r="22" spans="1:50" ht="16">
      <c r="A22" s="13"/>
      <c r="B22" s="504" t="s">
        <v>95</v>
      </c>
      <c r="C22" s="509"/>
      <c r="D22" s="505"/>
      <c r="E22" s="510" t="s">
        <v>201</v>
      </c>
      <c r="F22" s="511"/>
      <c r="G22" s="177"/>
      <c r="H22" s="157"/>
      <c r="I22" s="27"/>
      <c r="J22" s="27"/>
      <c r="K22" s="27"/>
      <c r="L22" s="27"/>
      <c r="M22" s="27">
        <v>50.5</v>
      </c>
      <c r="N22" s="27"/>
      <c r="O22" s="27"/>
      <c r="P22" s="27"/>
      <c r="Q22" s="27">
        <v>63.8</v>
      </c>
      <c r="R22" s="188"/>
      <c r="S22" s="188"/>
      <c r="T22" s="188"/>
      <c r="U22" s="188"/>
      <c r="V22" s="188"/>
      <c r="W22" s="188"/>
      <c r="X22" s="43"/>
      <c r="Y22" s="43"/>
      <c r="Z22" s="43"/>
      <c r="AA22" s="43"/>
      <c r="AB22" s="43"/>
      <c r="AC22" s="43"/>
      <c r="AD22" s="43"/>
      <c r="AE22" s="43"/>
      <c r="AF22" s="43"/>
      <c r="AG22" s="14"/>
      <c r="AH22" s="160" t="str">
        <f>B22</f>
        <v>Calcium chloride</v>
      </c>
      <c r="AI22" s="179">
        <f t="shared" si="1"/>
        <v>0</v>
      </c>
      <c r="AJ22" s="165">
        <f t="shared" si="1"/>
        <v>0</v>
      </c>
      <c r="AK22" s="165">
        <f>K22*0.4364/30.974/100</f>
        <v>0</v>
      </c>
      <c r="AL22" s="165">
        <f>L22*0.83/39.1/100</f>
        <v>0</v>
      </c>
      <c r="AM22" s="165">
        <f>M22*0.715/40.08/100</f>
        <v>9.0088572854291425E-3</v>
      </c>
      <c r="AN22" s="165">
        <f>N22*0.603/24.312/100</f>
        <v>0</v>
      </c>
      <c r="AO22" s="165">
        <f>O22/22.9898/100</f>
        <v>0</v>
      </c>
      <c r="AP22" s="165">
        <f>P22*0.4/32.064/100</f>
        <v>0</v>
      </c>
      <c r="AQ22" s="165">
        <f>Q22/35.453/100</f>
        <v>1.799565622091219E-2</v>
      </c>
      <c r="AR22" s="165">
        <f>R22/55.85/100</f>
        <v>0</v>
      </c>
      <c r="AS22" s="165">
        <f>S22/10.8/100</f>
        <v>0</v>
      </c>
      <c r="AT22" s="165">
        <f>T22/63.55/100</f>
        <v>0</v>
      </c>
      <c r="AU22" s="165">
        <f>U22/65.38/100</f>
        <v>0</v>
      </c>
      <c r="AV22" s="165">
        <f>V22/54.94/100</f>
        <v>0</v>
      </c>
      <c r="AW22" s="180">
        <f>W22/95.95/100</f>
        <v>0</v>
      </c>
      <c r="AX22" s="15"/>
    </row>
    <row r="23" spans="1:50" ht="18">
      <c r="A23" s="13"/>
      <c r="B23" s="515" t="s">
        <v>87</v>
      </c>
      <c r="C23" s="515"/>
      <c r="D23" s="515"/>
      <c r="E23" s="190"/>
      <c r="F23" s="191"/>
      <c r="G23" s="170"/>
      <c r="H23" s="170"/>
      <c r="I23" s="185"/>
      <c r="J23" s="185"/>
      <c r="K23" s="185"/>
      <c r="L23" s="185"/>
      <c r="M23" s="185"/>
      <c r="N23" s="185"/>
      <c r="O23" s="185"/>
      <c r="P23" s="186"/>
      <c r="Q23" s="186"/>
      <c r="R23" s="186"/>
      <c r="S23" s="186"/>
      <c r="T23" s="186"/>
      <c r="U23" s="186"/>
      <c r="V23" s="186"/>
      <c r="W23" s="186"/>
      <c r="X23" s="187"/>
      <c r="Y23" s="187"/>
      <c r="Z23" s="187"/>
      <c r="AA23" s="187"/>
      <c r="AB23" s="187"/>
      <c r="AC23" s="187"/>
      <c r="AD23" s="187"/>
      <c r="AE23" s="187"/>
      <c r="AF23" s="187"/>
      <c r="AG23" s="14"/>
      <c r="AH23" s="142" t="s">
        <v>35</v>
      </c>
      <c r="AI23" s="150"/>
      <c r="AJ23" s="151"/>
      <c r="AK23" s="151"/>
      <c r="AL23" s="151"/>
      <c r="AM23" s="151"/>
      <c r="AN23" s="151"/>
      <c r="AO23" s="151"/>
      <c r="AP23" s="151"/>
      <c r="AQ23" s="151"/>
      <c r="AR23" s="151"/>
      <c r="AS23" s="151"/>
      <c r="AT23" s="151"/>
      <c r="AU23" s="151"/>
      <c r="AV23" s="151"/>
      <c r="AW23" s="152"/>
      <c r="AX23" s="15"/>
    </row>
    <row r="24" spans="1:50" ht="16.5">
      <c r="A24" s="13"/>
      <c r="B24" s="504" t="s">
        <v>96</v>
      </c>
      <c r="C24" s="509"/>
      <c r="D24" s="505"/>
      <c r="E24" s="512" t="s">
        <v>202</v>
      </c>
      <c r="F24" s="513"/>
      <c r="G24" s="177"/>
      <c r="H24" s="157">
        <v>0.29799999999999999</v>
      </c>
      <c r="I24" s="27">
        <v>17.2</v>
      </c>
      <c r="J24" s="27">
        <v>17.2</v>
      </c>
      <c r="K24" s="27"/>
      <c r="L24" s="27"/>
      <c r="M24" s="27"/>
      <c r="N24" s="27"/>
      <c r="O24" s="27"/>
      <c r="P24" s="27"/>
      <c r="Q24" s="27"/>
      <c r="R24" s="188"/>
      <c r="S24" s="188"/>
      <c r="T24" s="188"/>
      <c r="U24" s="188"/>
      <c r="V24" s="188"/>
      <c r="W24" s="188"/>
      <c r="X24" s="43"/>
      <c r="Y24" s="43"/>
      <c r="Z24" s="43"/>
      <c r="AA24" s="43"/>
      <c r="AB24" s="43"/>
      <c r="AC24" s="43"/>
      <c r="AD24" s="43"/>
      <c r="AE24" s="43"/>
      <c r="AF24" s="43"/>
      <c r="AG24" s="14"/>
      <c r="AH24" s="160" t="str">
        <f>B24</f>
        <v>Ammonium nitrate</v>
      </c>
      <c r="AI24" s="179">
        <f t="shared" ref="AI24:AJ26" si="2">I24/14.007/100</f>
        <v>1.2279574498465054E-2</v>
      </c>
      <c r="AJ24" s="165">
        <f t="shared" si="2"/>
        <v>1.2279574498465054E-2</v>
      </c>
      <c r="AK24" s="165">
        <f>K24*0.4364/30.974/100</f>
        <v>0</v>
      </c>
      <c r="AL24" s="165">
        <f>L24*0.83/39.1/100</f>
        <v>0</v>
      </c>
      <c r="AM24" s="165">
        <f>M24*0.715/40.08/100</f>
        <v>0</v>
      </c>
      <c r="AN24" s="165">
        <f>N24*0.603/24.312/100</f>
        <v>0</v>
      </c>
      <c r="AO24" s="165">
        <f>O24/22.9898/100</f>
        <v>0</v>
      </c>
      <c r="AP24" s="165">
        <f>P24*0.4/32.064/100</f>
        <v>0</v>
      </c>
      <c r="AQ24" s="165">
        <f>Q24/35.453/100</f>
        <v>0</v>
      </c>
      <c r="AR24" s="165">
        <f>R24/55.85/100</f>
        <v>0</v>
      </c>
      <c r="AS24" s="165">
        <f>S24/10.8/100</f>
        <v>0</v>
      </c>
      <c r="AT24" s="165">
        <f>T24/63.55/100</f>
        <v>0</v>
      </c>
      <c r="AU24" s="165">
        <f>U24/65.38/100</f>
        <v>0</v>
      </c>
      <c r="AV24" s="165">
        <f>V24/54.94/100</f>
        <v>0</v>
      </c>
      <c r="AW24" s="180">
        <f>W24/95.95/100</f>
        <v>0</v>
      </c>
      <c r="AX24" s="15"/>
    </row>
    <row r="25" spans="1:50" ht="16.5">
      <c r="A25" s="13"/>
      <c r="B25" s="506" t="s">
        <v>97</v>
      </c>
      <c r="C25" s="508"/>
      <c r="D25" s="507"/>
      <c r="E25" s="512" t="s">
        <v>203</v>
      </c>
      <c r="F25" s="513"/>
      <c r="G25" s="177"/>
      <c r="H25" s="164">
        <v>0.16300000000000001</v>
      </c>
      <c r="I25" s="181"/>
      <c r="J25" s="181">
        <v>21.2</v>
      </c>
      <c r="K25" s="181"/>
      <c r="L25" s="181"/>
      <c r="M25" s="181"/>
      <c r="N25" s="181"/>
      <c r="O25" s="181"/>
      <c r="P25" s="181">
        <v>60.6</v>
      </c>
      <c r="Q25" s="181"/>
      <c r="R25" s="189"/>
      <c r="S25" s="189"/>
      <c r="T25" s="189"/>
      <c r="U25" s="189"/>
      <c r="V25" s="189"/>
      <c r="W25" s="189"/>
      <c r="X25" s="43"/>
      <c r="Y25" s="43"/>
      <c r="Z25" s="43"/>
      <c r="AA25" s="43"/>
      <c r="AB25" s="43"/>
      <c r="AC25" s="43"/>
      <c r="AD25" s="43"/>
      <c r="AE25" s="43"/>
      <c r="AF25" s="43"/>
      <c r="AG25" s="14"/>
      <c r="AH25" s="160" t="str">
        <f>B25</f>
        <v>Ammonium sulphate</v>
      </c>
      <c r="AI25" s="179">
        <f t="shared" si="2"/>
        <v>0</v>
      </c>
      <c r="AJ25" s="165">
        <f t="shared" si="2"/>
        <v>1.5135289498108089E-2</v>
      </c>
      <c r="AK25" s="165">
        <f>K25*0.4364/30.974/100</f>
        <v>0</v>
      </c>
      <c r="AL25" s="165">
        <f>L25*0.83/39.1/100</f>
        <v>0</v>
      </c>
      <c r="AM25" s="165">
        <f>M25*0.715/40.08/100</f>
        <v>0</v>
      </c>
      <c r="AN25" s="165">
        <f>N25*0.603/24.312/100</f>
        <v>0</v>
      </c>
      <c r="AO25" s="165">
        <f>O25/22.9898/100</f>
        <v>0</v>
      </c>
      <c r="AP25" s="165">
        <f>P25*0.4/32.064/100</f>
        <v>7.5598802395209583E-3</v>
      </c>
      <c r="AQ25" s="165">
        <f>Q25/35.453/100</f>
        <v>0</v>
      </c>
      <c r="AR25" s="165">
        <f>R25/55.85/100</f>
        <v>0</v>
      </c>
      <c r="AS25" s="165">
        <f>S25/10.8/100</f>
        <v>0</v>
      </c>
      <c r="AT25" s="165">
        <f>T25/63.55/100</f>
        <v>0</v>
      </c>
      <c r="AU25" s="165">
        <f>U25/65.38/100</f>
        <v>0</v>
      </c>
      <c r="AV25" s="165">
        <f>V25/54.94/100</f>
        <v>0</v>
      </c>
      <c r="AW25" s="180">
        <f>W25/95.95/100</f>
        <v>0</v>
      </c>
      <c r="AX25" s="15"/>
    </row>
    <row r="26" spans="1:50" ht="16.5">
      <c r="A26" s="13"/>
      <c r="B26" s="504" t="s">
        <v>98</v>
      </c>
      <c r="C26" s="509"/>
      <c r="D26" s="505"/>
      <c r="E26" s="512" t="s">
        <v>204</v>
      </c>
      <c r="F26" s="513"/>
      <c r="G26" s="177"/>
      <c r="H26" s="157">
        <v>0.79800000000000004</v>
      </c>
      <c r="I26" s="27"/>
      <c r="J26" s="27">
        <v>12.2</v>
      </c>
      <c r="K26" s="27">
        <v>61.6</v>
      </c>
      <c r="L26" s="27"/>
      <c r="M26" s="27"/>
      <c r="N26" s="27"/>
      <c r="O26" s="27"/>
      <c r="P26" s="27"/>
      <c r="Q26" s="27"/>
      <c r="R26" s="188"/>
      <c r="S26" s="188"/>
      <c r="T26" s="188"/>
      <c r="U26" s="188"/>
      <c r="V26" s="188"/>
      <c r="W26" s="188"/>
      <c r="X26" s="43"/>
      <c r="Y26" s="43"/>
      <c r="Z26" s="43"/>
      <c r="AA26" s="43"/>
      <c r="AB26" s="43"/>
      <c r="AC26" s="43"/>
      <c r="AD26" s="43"/>
      <c r="AE26" s="43"/>
      <c r="AF26" s="43"/>
      <c r="AG26" s="14"/>
      <c r="AH26" s="160" t="str">
        <f>B26</f>
        <v>Mono-ammonium phosphate</v>
      </c>
      <c r="AI26" s="179">
        <f t="shared" si="2"/>
        <v>0</v>
      </c>
      <c r="AJ26" s="165">
        <f t="shared" si="2"/>
        <v>8.7099307489112588E-3</v>
      </c>
      <c r="AK26" s="165">
        <f>K26*0.4364/30.974/100</f>
        <v>8.6789694582553104E-3</v>
      </c>
      <c r="AL26" s="165">
        <f>L26*0.83/39.1/100</f>
        <v>0</v>
      </c>
      <c r="AM26" s="165">
        <f>M26*0.715/40.08/100</f>
        <v>0</v>
      </c>
      <c r="AN26" s="165">
        <f>N26*0.603/24.312/100</f>
        <v>0</v>
      </c>
      <c r="AO26" s="165">
        <f>O26/22.9898/100</f>
        <v>0</v>
      </c>
      <c r="AP26" s="165">
        <f>P26*0.4/32.064/100</f>
        <v>0</v>
      </c>
      <c r="AQ26" s="165">
        <f>Q26/35.453/100</f>
        <v>0</v>
      </c>
      <c r="AR26" s="165">
        <f>R26/55.85/100</f>
        <v>0</v>
      </c>
      <c r="AS26" s="165">
        <f>S26/10.8/100</f>
        <v>0</v>
      </c>
      <c r="AT26" s="165">
        <f>T26/63.55/100</f>
        <v>0</v>
      </c>
      <c r="AU26" s="165">
        <f>U26/65.38/100</f>
        <v>0</v>
      </c>
      <c r="AV26" s="165">
        <f>V26/54.94/100</f>
        <v>0</v>
      </c>
      <c r="AW26" s="180">
        <f>W26/95.95/100</f>
        <v>0</v>
      </c>
      <c r="AX26" s="15"/>
    </row>
    <row r="27" spans="1:50" ht="18">
      <c r="A27" s="13"/>
      <c r="B27" s="515" t="s">
        <v>88</v>
      </c>
      <c r="C27" s="515"/>
      <c r="D27" s="515"/>
      <c r="E27" s="192"/>
      <c r="F27" s="191"/>
      <c r="G27" s="193"/>
      <c r="H27" s="170"/>
      <c r="I27" s="185"/>
      <c r="J27" s="185"/>
      <c r="K27" s="185"/>
      <c r="L27" s="185"/>
      <c r="M27" s="185"/>
      <c r="N27" s="185"/>
      <c r="O27" s="185"/>
      <c r="P27" s="186"/>
      <c r="Q27" s="186"/>
      <c r="R27" s="186"/>
      <c r="S27" s="186"/>
      <c r="T27" s="186"/>
      <c r="U27" s="186"/>
      <c r="V27" s="186"/>
      <c r="W27" s="186"/>
      <c r="X27" s="187"/>
      <c r="Y27" s="187"/>
      <c r="Z27" s="187"/>
      <c r="AA27" s="187"/>
      <c r="AB27" s="187"/>
      <c r="AC27" s="187"/>
      <c r="AD27" s="187"/>
      <c r="AE27" s="187"/>
      <c r="AF27" s="187"/>
      <c r="AG27" s="14"/>
      <c r="AH27" s="142" t="s">
        <v>36</v>
      </c>
      <c r="AI27" s="150"/>
      <c r="AJ27" s="151"/>
      <c r="AK27" s="151"/>
      <c r="AL27" s="151"/>
      <c r="AM27" s="151"/>
      <c r="AN27" s="151"/>
      <c r="AO27" s="151"/>
      <c r="AP27" s="151"/>
      <c r="AQ27" s="151"/>
      <c r="AR27" s="151"/>
      <c r="AS27" s="151"/>
      <c r="AT27" s="151"/>
      <c r="AU27" s="151"/>
      <c r="AV27" s="151"/>
      <c r="AW27" s="152"/>
      <c r="AX27" s="15"/>
    </row>
    <row r="28" spans="1:50" ht="17.25" customHeight="1">
      <c r="A28" s="13"/>
      <c r="B28" s="504" t="s">
        <v>99</v>
      </c>
      <c r="C28" s="509"/>
      <c r="D28" s="505"/>
      <c r="E28" s="516" t="s">
        <v>205</v>
      </c>
      <c r="F28" s="517"/>
      <c r="G28" s="195"/>
      <c r="H28" s="157">
        <v>0.96099999999999997</v>
      </c>
      <c r="I28" s="27"/>
      <c r="J28" s="27"/>
      <c r="K28" s="27">
        <v>52.2</v>
      </c>
      <c r="L28" s="27">
        <v>34.6</v>
      </c>
      <c r="M28" s="27"/>
      <c r="N28" s="27"/>
      <c r="O28" s="27"/>
      <c r="P28" s="27"/>
      <c r="Q28" s="27"/>
      <c r="R28" s="188"/>
      <c r="S28" s="188"/>
      <c r="T28" s="188"/>
      <c r="U28" s="188"/>
      <c r="V28" s="188"/>
      <c r="W28" s="188"/>
      <c r="X28" s="43"/>
      <c r="Y28" s="43"/>
      <c r="Z28" s="43"/>
      <c r="AA28" s="43"/>
      <c r="AB28" s="43"/>
      <c r="AC28" s="43"/>
      <c r="AD28" s="43"/>
      <c r="AE28" s="43"/>
      <c r="AF28" s="43"/>
      <c r="AG28" s="14"/>
      <c r="AH28" s="160" t="str">
        <f>B28</f>
        <v>Mono-potassium phosphate</v>
      </c>
      <c r="AI28" s="179">
        <f>I28/14.007/100</f>
        <v>0</v>
      </c>
      <c r="AJ28" s="165">
        <f>J28/14.007/100</f>
        <v>0</v>
      </c>
      <c r="AK28" s="165">
        <f>K28*0.4364/30.974/100</f>
        <v>7.3545812617033645E-3</v>
      </c>
      <c r="AL28" s="165">
        <f>L28*0.83/39.1/100</f>
        <v>7.3447570332480817E-3</v>
      </c>
      <c r="AM28" s="165">
        <f>M28*0.715/40.08/100</f>
        <v>0</v>
      </c>
      <c r="AN28" s="165">
        <f>N28*0.603/24.312/100</f>
        <v>0</v>
      </c>
      <c r="AO28" s="165">
        <f>O28/22.9898/100</f>
        <v>0</v>
      </c>
      <c r="AP28" s="165">
        <f>P28*0.4/32.064/100</f>
        <v>0</v>
      </c>
      <c r="AQ28" s="165">
        <f>Q28/35.453/100</f>
        <v>0</v>
      </c>
      <c r="AR28" s="165">
        <f>R28/55.85/100</f>
        <v>0</v>
      </c>
      <c r="AS28" s="165">
        <f>S28/10.8/100</f>
        <v>0</v>
      </c>
      <c r="AT28" s="165">
        <f>T28/63.55/100</f>
        <v>0</v>
      </c>
      <c r="AU28" s="165">
        <f>U28/65.38/100</f>
        <v>0</v>
      </c>
      <c r="AV28" s="165">
        <f>V28/54.94/100</f>
        <v>0</v>
      </c>
      <c r="AW28" s="180">
        <f>W28/95.95/100</f>
        <v>0</v>
      </c>
      <c r="AX28" s="15"/>
    </row>
    <row r="29" spans="1:50" ht="19.5" customHeight="1">
      <c r="A29" s="13"/>
      <c r="B29" s="515" t="s">
        <v>89</v>
      </c>
      <c r="C29" s="515"/>
      <c r="D29" s="515"/>
      <c r="E29" s="196"/>
      <c r="F29" s="191"/>
      <c r="G29" s="170"/>
      <c r="H29" s="170"/>
      <c r="I29" s="197"/>
      <c r="J29" s="197"/>
      <c r="K29" s="197"/>
      <c r="L29" s="197"/>
      <c r="M29" s="197"/>
      <c r="N29" s="197"/>
      <c r="O29" s="197"/>
      <c r="P29" s="197"/>
      <c r="Q29" s="197"/>
      <c r="R29" s="197"/>
      <c r="S29" s="197"/>
      <c r="T29" s="197"/>
      <c r="U29" s="197"/>
      <c r="V29" s="197"/>
      <c r="W29" s="197"/>
      <c r="X29" s="198"/>
      <c r="Y29" s="198"/>
      <c r="Z29" s="198"/>
      <c r="AA29" s="198"/>
      <c r="AB29" s="198"/>
      <c r="AC29" s="198"/>
      <c r="AD29" s="198"/>
      <c r="AE29" s="198"/>
      <c r="AF29" s="198"/>
      <c r="AG29" s="14"/>
      <c r="AH29" s="142" t="s">
        <v>41</v>
      </c>
      <c r="AI29" s="150"/>
      <c r="AJ29" s="151"/>
      <c r="AK29" s="151"/>
      <c r="AL29" s="151"/>
      <c r="AM29" s="151"/>
      <c r="AN29" s="151"/>
      <c r="AO29" s="151"/>
      <c r="AP29" s="151"/>
      <c r="AQ29" s="151"/>
      <c r="AR29" s="151"/>
      <c r="AS29" s="151"/>
      <c r="AT29" s="151"/>
      <c r="AU29" s="151"/>
      <c r="AV29" s="151"/>
      <c r="AW29" s="152"/>
      <c r="AX29" s="15"/>
    </row>
    <row r="30" spans="1:50" ht="16.5">
      <c r="A30" s="13"/>
      <c r="B30" s="504" t="s">
        <v>100</v>
      </c>
      <c r="C30" s="509"/>
      <c r="D30" s="505"/>
      <c r="E30" s="512" t="s">
        <v>206</v>
      </c>
      <c r="F30" s="513"/>
      <c r="G30" s="177"/>
      <c r="H30" s="157">
        <v>0.3</v>
      </c>
      <c r="I30" s="27"/>
      <c r="J30" s="27"/>
      <c r="K30" s="27"/>
      <c r="L30" s="27"/>
      <c r="M30" s="27"/>
      <c r="N30" s="27">
        <v>15.9</v>
      </c>
      <c r="O30" s="27"/>
      <c r="P30" s="27">
        <v>31.75</v>
      </c>
      <c r="Q30" s="27"/>
      <c r="R30" s="188"/>
      <c r="S30" s="188"/>
      <c r="T30" s="188"/>
      <c r="U30" s="188"/>
      <c r="V30" s="188"/>
      <c r="W30" s="188"/>
      <c r="X30" s="43"/>
      <c r="Y30" s="43"/>
      <c r="Z30" s="43"/>
      <c r="AA30" s="43"/>
      <c r="AB30" s="43"/>
      <c r="AC30" s="43"/>
      <c r="AD30" s="43"/>
      <c r="AE30" s="43"/>
      <c r="AF30" s="43"/>
      <c r="AG30" s="14"/>
      <c r="AH30" s="160" t="str">
        <f>B30</f>
        <v>Magnesium sulphate</v>
      </c>
      <c r="AI30" s="179">
        <f>I30/14.007/100</f>
        <v>0</v>
      </c>
      <c r="AJ30" s="165">
        <f>J30/14.007/100</f>
        <v>0</v>
      </c>
      <c r="AK30" s="165">
        <f>K30*0.4364/30.974/100</f>
        <v>0</v>
      </c>
      <c r="AL30" s="165">
        <f>L30*0.83/39.1/100</f>
        <v>0</v>
      </c>
      <c r="AM30" s="165">
        <f>M30*0.715/40.08/100</f>
        <v>0</v>
      </c>
      <c r="AN30" s="165">
        <f>N30*0.603/24.312/100</f>
        <v>3.9436080947680158E-3</v>
      </c>
      <c r="AO30" s="165">
        <f>O30/22.9898/100</f>
        <v>0</v>
      </c>
      <c r="AP30" s="165">
        <f>P30*0.4/32.064/100</f>
        <v>3.9608283433133738E-3</v>
      </c>
      <c r="AQ30" s="165">
        <f>Q30/35.453/100</f>
        <v>0</v>
      </c>
      <c r="AR30" s="165">
        <f>R30/55.85/100</f>
        <v>0</v>
      </c>
      <c r="AS30" s="165">
        <f>S30/10.8/100</f>
        <v>0</v>
      </c>
      <c r="AT30" s="165">
        <f>T30/63.55/100</f>
        <v>0</v>
      </c>
      <c r="AU30" s="165">
        <f>U30/65.38/100</f>
        <v>0</v>
      </c>
      <c r="AV30" s="165">
        <f>V30/54.94/100</f>
        <v>0</v>
      </c>
      <c r="AW30" s="180">
        <f>W30/95.95/100</f>
        <v>0</v>
      </c>
      <c r="AX30" s="15"/>
    </row>
    <row r="31" spans="1:50" ht="16.5">
      <c r="A31" s="13"/>
      <c r="B31" s="506" t="s">
        <v>101</v>
      </c>
      <c r="C31" s="508"/>
      <c r="D31" s="507"/>
      <c r="E31" s="512" t="s">
        <v>207</v>
      </c>
      <c r="F31" s="513"/>
      <c r="G31" s="177"/>
      <c r="H31" s="164">
        <v>0.91300000000000003</v>
      </c>
      <c r="I31" s="181">
        <v>10.95</v>
      </c>
      <c r="J31" s="181"/>
      <c r="K31" s="181"/>
      <c r="L31" s="181"/>
      <c r="M31" s="181"/>
      <c r="N31" s="181">
        <v>15.7</v>
      </c>
      <c r="O31" s="181"/>
      <c r="P31" s="181"/>
      <c r="Q31" s="181"/>
      <c r="R31" s="189"/>
      <c r="S31" s="189"/>
      <c r="T31" s="189"/>
      <c r="U31" s="189"/>
      <c r="V31" s="189"/>
      <c r="W31" s="189"/>
      <c r="X31" s="43"/>
      <c r="Y31" s="43"/>
      <c r="Z31" s="43"/>
      <c r="AA31" s="43"/>
      <c r="AB31" s="43"/>
      <c r="AC31" s="43"/>
      <c r="AD31" s="43"/>
      <c r="AE31" s="43"/>
      <c r="AF31" s="43"/>
      <c r="AG31" s="14"/>
      <c r="AH31" s="160" t="str">
        <f>B31</f>
        <v>Magnesium nitrate</v>
      </c>
      <c r="AI31" s="179">
        <f>I31/14.007/100</f>
        <v>7.8175198115228092E-3</v>
      </c>
      <c r="AJ31" s="165">
        <f>J31/14.007/100</f>
        <v>0</v>
      </c>
      <c r="AK31" s="165">
        <f>K31*0.4364/30.974/100</f>
        <v>0</v>
      </c>
      <c r="AL31" s="165">
        <f>L31*0.83/39.1/100</f>
        <v>0</v>
      </c>
      <c r="AM31" s="165">
        <f>M31*0.715/40.08/100</f>
        <v>0</v>
      </c>
      <c r="AN31" s="165">
        <f>N31*0.603/24.312/100</f>
        <v>3.8940029615004926E-3</v>
      </c>
      <c r="AO31" s="165">
        <f>O31/22.9898/100</f>
        <v>0</v>
      </c>
      <c r="AP31" s="165">
        <f>P31*0.4/32.064/100</f>
        <v>0</v>
      </c>
      <c r="AQ31" s="165">
        <f>Q31/35.453/100</f>
        <v>0</v>
      </c>
      <c r="AR31" s="165">
        <f>R31/55.85/100</f>
        <v>0</v>
      </c>
      <c r="AS31" s="165">
        <f>S31/10.8/100</f>
        <v>0</v>
      </c>
      <c r="AT31" s="165">
        <f>T31/63.55/100</f>
        <v>0</v>
      </c>
      <c r="AU31" s="165">
        <f>U31/65.38/100</f>
        <v>0</v>
      </c>
      <c r="AV31" s="165">
        <f>V31/54.94/100</f>
        <v>0</v>
      </c>
      <c r="AW31" s="180">
        <f>W31/95.95/100</f>
        <v>0</v>
      </c>
      <c r="AX31" s="15"/>
    </row>
    <row r="32" spans="1:50" ht="18">
      <c r="A32" s="13"/>
      <c r="B32" s="515" t="s">
        <v>90</v>
      </c>
      <c r="C32" s="515"/>
      <c r="D32" s="515"/>
      <c r="E32" s="196"/>
      <c r="F32" s="191"/>
      <c r="G32" s="193"/>
      <c r="H32" s="170"/>
      <c r="I32" s="185"/>
      <c r="J32" s="185"/>
      <c r="K32" s="185"/>
      <c r="L32" s="185"/>
      <c r="M32" s="185"/>
      <c r="N32" s="185"/>
      <c r="O32" s="185"/>
      <c r="P32" s="186"/>
      <c r="Q32" s="186"/>
      <c r="R32" s="186"/>
      <c r="S32" s="186"/>
      <c r="T32" s="186"/>
      <c r="U32" s="186"/>
      <c r="V32" s="186"/>
      <c r="W32" s="186"/>
      <c r="X32" s="187"/>
      <c r="Y32" s="187"/>
      <c r="Z32" s="187"/>
      <c r="AA32" s="187"/>
      <c r="AB32" s="187"/>
      <c r="AC32" s="187"/>
      <c r="AD32" s="187"/>
      <c r="AE32" s="187"/>
      <c r="AF32" s="187"/>
      <c r="AG32" s="14"/>
      <c r="AH32" s="142" t="s">
        <v>42</v>
      </c>
      <c r="AI32" s="150"/>
      <c r="AJ32" s="151"/>
      <c r="AK32" s="151"/>
      <c r="AL32" s="151"/>
      <c r="AM32" s="151"/>
      <c r="AN32" s="151"/>
      <c r="AO32" s="151"/>
      <c r="AP32" s="151"/>
      <c r="AQ32" s="151"/>
      <c r="AR32" s="151"/>
      <c r="AS32" s="151"/>
      <c r="AT32" s="151"/>
      <c r="AU32" s="151"/>
      <c r="AV32" s="151"/>
      <c r="AW32" s="152"/>
      <c r="AX32" s="15"/>
    </row>
    <row r="33" spans="1:50" ht="16.5">
      <c r="A33" s="13"/>
      <c r="B33" s="504" t="s">
        <v>102</v>
      </c>
      <c r="C33" s="509"/>
      <c r="D33" s="505"/>
      <c r="E33" s="516" t="s">
        <v>208</v>
      </c>
      <c r="F33" s="517"/>
      <c r="G33" s="195"/>
      <c r="H33" s="157">
        <v>0.5</v>
      </c>
      <c r="I33" s="27">
        <v>13.8</v>
      </c>
      <c r="J33" s="27"/>
      <c r="K33" s="27"/>
      <c r="L33" s="27">
        <v>46.5</v>
      </c>
      <c r="M33" s="27"/>
      <c r="N33" s="27"/>
      <c r="O33" s="27"/>
      <c r="P33" s="27"/>
      <c r="Q33" s="27"/>
      <c r="R33" s="188"/>
      <c r="S33" s="188"/>
      <c r="T33" s="188"/>
      <c r="U33" s="188"/>
      <c r="V33" s="188"/>
      <c r="W33" s="188"/>
      <c r="X33" s="199"/>
      <c r="Y33" s="199"/>
      <c r="Z33" s="199"/>
      <c r="AA33" s="199"/>
      <c r="AB33" s="199"/>
      <c r="AC33" s="199"/>
      <c r="AD33" s="199"/>
      <c r="AE33" s="199"/>
      <c r="AF33" s="199"/>
      <c r="AG33" s="14"/>
      <c r="AH33" s="160" t="str">
        <f>B33</f>
        <v>Potassium nitrate</v>
      </c>
      <c r="AI33" s="179">
        <f t="shared" ref="AI33:AJ35" si="3">I33/14.007/100</f>
        <v>9.8522167487684748E-3</v>
      </c>
      <c r="AJ33" s="165">
        <f t="shared" si="3"/>
        <v>0</v>
      </c>
      <c r="AK33" s="165">
        <f>K33*0.4364/30.974/100</f>
        <v>0</v>
      </c>
      <c r="AL33" s="165">
        <f>L33*0.83/39.1/100</f>
        <v>9.8708439897698206E-3</v>
      </c>
      <c r="AM33" s="165">
        <f>M33*0.715/40.08/100</f>
        <v>0</v>
      </c>
      <c r="AN33" s="165">
        <f>N33*0.603/24.312/100</f>
        <v>0</v>
      </c>
      <c r="AO33" s="165">
        <f>O33/22.9898/100</f>
        <v>0</v>
      </c>
      <c r="AP33" s="165">
        <f>P33*0.4/32.064/100</f>
        <v>0</v>
      </c>
      <c r="AQ33" s="165">
        <f>Q33/35.453/100</f>
        <v>0</v>
      </c>
      <c r="AR33" s="165">
        <f>R33/55.85/100</f>
        <v>0</v>
      </c>
      <c r="AS33" s="165">
        <f>S33/10.8/100</f>
        <v>0</v>
      </c>
      <c r="AT33" s="165">
        <f>T33/63.55/100</f>
        <v>0</v>
      </c>
      <c r="AU33" s="165">
        <f>U33/65.38/100</f>
        <v>0</v>
      </c>
      <c r="AV33" s="165">
        <f>V33/54.94/100</f>
        <v>0</v>
      </c>
      <c r="AW33" s="180">
        <f>W33/95.95/100</f>
        <v>0</v>
      </c>
      <c r="AX33" s="15"/>
    </row>
    <row r="34" spans="1:50" ht="16.5">
      <c r="A34" s="13"/>
      <c r="B34" s="506" t="s">
        <v>103</v>
      </c>
      <c r="C34" s="508"/>
      <c r="D34" s="507"/>
      <c r="E34" s="516" t="s">
        <v>209</v>
      </c>
      <c r="F34" s="517"/>
      <c r="G34" s="195"/>
      <c r="H34" s="164">
        <v>0.42299999999999999</v>
      </c>
      <c r="I34" s="181"/>
      <c r="J34" s="181"/>
      <c r="K34" s="181"/>
      <c r="L34" s="181">
        <v>52.05</v>
      </c>
      <c r="M34" s="181"/>
      <c r="N34" s="181"/>
      <c r="O34" s="181"/>
      <c r="P34" s="181">
        <v>44.1</v>
      </c>
      <c r="Q34" s="181"/>
      <c r="R34" s="189"/>
      <c r="S34" s="189"/>
      <c r="T34" s="189"/>
      <c r="U34" s="189"/>
      <c r="V34" s="189"/>
      <c r="W34" s="189"/>
      <c r="X34" s="43"/>
      <c r="Y34" s="43"/>
      <c r="Z34" s="43"/>
      <c r="AA34" s="43"/>
      <c r="AB34" s="43"/>
      <c r="AC34" s="43"/>
      <c r="AD34" s="43"/>
      <c r="AE34" s="43"/>
      <c r="AF34" s="43"/>
      <c r="AG34" s="14"/>
      <c r="AH34" s="160" t="str">
        <f>B34</f>
        <v xml:space="preserve">Potassium sulphate </v>
      </c>
      <c r="AI34" s="179">
        <f t="shared" si="3"/>
        <v>0</v>
      </c>
      <c r="AJ34" s="165">
        <f t="shared" si="3"/>
        <v>0</v>
      </c>
      <c r="AK34" s="165">
        <f>K34*0.4364/30.974/100</f>
        <v>0</v>
      </c>
      <c r="AL34" s="165">
        <f>L34*0.83/39.1/100</f>
        <v>1.1048976982097185E-2</v>
      </c>
      <c r="AM34" s="165">
        <f>M34*0.715/40.08/100</f>
        <v>0</v>
      </c>
      <c r="AN34" s="165">
        <f>N34*0.603/24.312/100</f>
        <v>0</v>
      </c>
      <c r="AO34" s="165">
        <f>O34/22.9898/100</f>
        <v>0</v>
      </c>
      <c r="AP34" s="165">
        <f>P34*0.4/32.064/100</f>
        <v>5.5014970059880245E-3</v>
      </c>
      <c r="AQ34" s="165">
        <f>Q34/35.453/100</f>
        <v>0</v>
      </c>
      <c r="AR34" s="165">
        <f>R34/55.85/100</f>
        <v>0</v>
      </c>
      <c r="AS34" s="165">
        <f>S34/10.8/100</f>
        <v>0</v>
      </c>
      <c r="AT34" s="165">
        <f>T34/63.55/100</f>
        <v>0</v>
      </c>
      <c r="AU34" s="165">
        <f>U34/65.38/100</f>
        <v>0</v>
      </c>
      <c r="AV34" s="165">
        <f>V34/54.94/100</f>
        <v>0</v>
      </c>
      <c r="AW34" s="180">
        <f>W34/95.95/100</f>
        <v>0</v>
      </c>
      <c r="AX34" s="15"/>
    </row>
    <row r="35" spans="1:50" ht="15.5">
      <c r="A35" s="13"/>
      <c r="B35" s="504" t="s">
        <v>104</v>
      </c>
      <c r="C35" s="509"/>
      <c r="D35" s="505"/>
      <c r="E35" s="516" t="s">
        <v>46</v>
      </c>
      <c r="F35" s="517"/>
      <c r="G35" s="195"/>
      <c r="H35" s="157">
        <v>0.24299999999999999</v>
      </c>
      <c r="I35" s="27"/>
      <c r="J35" s="27"/>
      <c r="K35" s="27"/>
      <c r="L35" s="27">
        <v>61</v>
      </c>
      <c r="M35" s="27"/>
      <c r="N35" s="27"/>
      <c r="O35" s="27"/>
      <c r="P35" s="27"/>
      <c r="Q35" s="27">
        <v>45.9</v>
      </c>
      <c r="R35" s="188"/>
      <c r="S35" s="188"/>
      <c r="T35" s="188"/>
      <c r="U35" s="188"/>
      <c r="V35" s="188"/>
      <c r="W35" s="188"/>
      <c r="X35" s="199"/>
      <c r="Y35" s="199"/>
      <c r="Z35" s="199"/>
      <c r="AA35" s="199"/>
      <c r="AB35" s="199"/>
      <c r="AC35" s="199"/>
      <c r="AD35" s="199"/>
      <c r="AE35" s="199"/>
      <c r="AF35" s="199"/>
      <c r="AG35" s="14"/>
      <c r="AH35" s="160" t="str">
        <f>B35</f>
        <v>Potassium chloride</v>
      </c>
      <c r="AI35" s="179">
        <f t="shared" si="3"/>
        <v>0</v>
      </c>
      <c r="AJ35" s="165">
        <f t="shared" si="3"/>
        <v>0</v>
      </c>
      <c r="AK35" s="165">
        <f>K35*0.4364/30.974/100</f>
        <v>0</v>
      </c>
      <c r="AL35" s="165">
        <f>L35*0.83/39.1/100</f>
        <v>1.2948849104859333E-2</v>
      </c>
      <c r="AM35" s="165">
        <f>M35*0.715/40.08/100</f>
        <v>0</v>
      </c>
      <c r="AN35" s="165">
        <f>N35*0.603/24.312/100</f>
        <v>0</v>
      </c>
      <c r="AO35" s="165">
        <f>O35/22.9898/100</f>
        <v>0</v>
      </c>
      <c r="AP35" s="165">
        <f>P35*0.4/32.064/100</f>
        <v>0</v>
      </c>
      <c r="AQ35" s="165">
        <f>Q35/35.453/100</f>
        <v>1.2946718190280088E-2</v>
      </c>
      <c r="AR35" s="165">
        <f>R35/55.85/100</f>
        <v>0</v>
      </c>
      <c r="AS35" s="165">
        <f>S35/10.8/100</f>
        <v>0</v>
      </c>
      <c r="AT35" s="165">
        <f>T35/63.55/100</f>
        <v>0</v>
      </c>
      <c r="AU35" s="165">
        <f>U35/65.38/100</f>
        <v>0</v>
      </c>
      <c r="AV35" s="165">
        <f>V35/54.94/100</f>
        <v>0</v>
      </c>
      <c r="AW35" s="180">
        <f>W35/95.95/100</f>
        <v>0</v>
      </c>
      <c r="AX35" s="15"/>
    </row>
    <row r="36" spans="1:50" ht="18">
      <c r="A36" s="13"/>
      <c r="B36" s="515" t="s">
        <v>91</v>
      </c>
      <c r="C36" s="515"/>
      <c r="D36" s="515"/>
      <c r="E36" s="196"/>
      <c r="F36" s="191"/>
      <c r="G36" s="193"/>
      <c r="H36" s="170"/>
      <c r="I36" s="200"/>
      <c r="J36" s="185"/>
      <c r="K36" s="185"/>
      <c r="L36" s="185"/>
      <c r="M36" s="185"/>
      <c r="N36" s="185"/>
      <c r="O36" s="185"/>
      <c r="P36" s="185"/>
      <c r="Q36" s="186"/>
      <c r="R36" s="186"/>
      <c r="S36" s="186"/>
      <c r="T36" s="186"/>
      <c r="U36" s="186"/>
      <c r="V36" s="186"/>
      <c r="W36" s="186"/>
      <c r="X36" s="187"/>
      <c r="Y36" s="187"/>
      <c r="Z36" s="187"/>
      <c r="AA36" s="187"/>
      <c r="AB36" s="187"/>
      <c r="AC36" s="187"/>
      <c r="AD36" s="187"/>
      <c r="AE36" s="187"/>
      <c r="AF36" s="187"/>
      <c r="AG36" s="201"/>
      <c r="AH36" s="142" t="s">
        <v>43</v>
      </c>
      <c r="AI36" s="150"/>
      <c r="AJ36" s="151"/>
      <c r="AK36" s="151"/>
      <c r="AL36" s="151"/>
      <c r="AM36" s="151"/>
      <c r="AN36" s="151"/>
      <c r="AO36" s="151"/>
      <c r="AP36" s="151"/>
      <c r="AQ36" s="151"/>
      <c r="AR36" s="151"/>
      <c r="AS36" s="151"/>
      <c r="AT36" s="151"/>
      <c r="AU36" s="151"/>
      <c r="AV36" s="151"/>
      <c r="AW36" s="152"/>
      <c r="AX36" s="15"/>
    </row>
    <row r="37" spans="1:50" ht="15.5">
      <c r="A37" s="13"/>
      <c r="B37" s="504" t="s">
        <v>338</v>
      </c>
      <c r="C37" s="509"/>
      <c r="D37" s="505"/>
      <c r="E37" s="194"/>
      <c r="F37" s="191"/>
      <c r="G37" s="195"/>
      <c r="H37" s="157"/>
      <c r="I37" s="27"/>
      <c r="J37" s="27"/>
      <c r="K37" s="27"/>
      <c r="L37" s="27"/>
      <c r="M37" s="27"/>
      <c r="N37" s="27"/>
      <c r="O37" s="27"/>
      <c r="P37" s="27"/>
      <c r="Q37" s="27"/>
      <c r="R37" s="188">
        <v>13</v>
      </c>
      <c r="S37" s="188"/>
      <c r="T37" s="188"/>
      <c r="U37" s="188"/>
      <c r="V37" s="188"/>
      <c r="W37" s="188"/>
      <c r="X37" s="199"/>
      <c r="Y37" s="199"/>
      <c r="Z37" s="199"/>
      <c r="AA37" s="199"/>
      <c r="AB37" s="199"/>
      <c r="AC37" s="199"/>
      <c r="AD37" s="199"/>
      <c r="AE37" s="199"/>
      <c r="AF37" s="199"/>
      <c r="AG37" s="201"/>
      <c r="AH37" s="160" t="str">
        <f>B37</f>
        <v>Iron  EDTA</v>
      </c>
      <c r="AI37" s="179">
        <f t="shared" ref="AI37:AJ39" si="4">I37/14.007/100</f>
        <v>0</v>
      </c>
      <c r="AJ37" s="165">
        <f t="shared" si="4"/>
        <v>0</v>
      </c>
      <c r="AK37" s="165">
        <f>K37*0.4364/30.974/100</f>
        <v>0</v>
      </c>
      <c r="AL37" s="165">
        <f>L37*0.83/39.1/100</f>
        <v>0</v>
      </c>
      <c r="AM37" s="165">
        <f>M37*0.715/40.08/100</f>
        <v>0</v>
      </c>
      <c r="AN37" s="165">
        <f>N37*0.603/24.312/100</f>
        <v>0</v>
      </c>
      <c r="AO37" s="165">
        <f>O37/22.9898/100</f>
        <v>0</v>
      </c>
      <c r="AP37" s="165">
        <f>P37*0.4/32.064/100</f>
        <v>0</v>
      </c>
      <c r="AQ37" s="165">
        <f>Q37/35.453/100</f>
        <v>0</v>
      </c>
      <c r="AR37" s="165">
        <f>R37/55.85/100</f>
        <v>2.3276633840644584E-3</v>
      </c>
      <c r="AS37" s="165">
        <f>S37/10.8/100</f>
        <v>0</v>
      </c>
      <c r="AT37" s="165">
        <f>T37/63.55/100</f>
        <v>0</v>
      </c>
      <c r="AU37" s="165">
        <f>U37/65.38/100</f>
        <v>0</v>
      </c>
      <c r="AV37" s="165">
        <f>V37/54.94/100</f>
        <v>0</v>
      </c>
      <c r="AW37" s="180">
        <f>W37/95.95/100</f>
        <v>0</v>
      </c>
      <c r="AX37" s="15"/>
    </row>
    <row r="38" spans="1:50" ht="15.5">
      <c r="A38" s="13"/>
      <c r="B38" s="506" t="s">
        <v>339</v>
      </c>
      <c r="C38" s="508"/>
      <c r="D38" s="507"/>
      <c r="E38" s="194"/>
      <c r="F38" s="191"/>
      <c r="G38" s="195"/>
      <c r="H38" s="164">
        <v>7.9809999999999999</v>
      </c>
      <c r="I38" s="181"/>
      <c r="J38" s="181"/>
      <c r="K38" s="181"/>
      <c r="L38" s="181"/>
      <c r="M38" s="181"/>
      <c r="N38" s="181"/>
      <c r="O38" s="181"/>
      <c r="P38" s="181"/>
      <c r="Q38" s="181"/>
      <c r="R38" s="189">
        <v>6.5</v>
      </c>
      <c r="S38" s="189"/>
      <c r="T38" s="189"/>
      <c r="U38" s="189"/>
      <c r="V38" s="189"/>
      <c r="W38" s="189"/>
      <c r="X38" s="43"/>
      <c r="Y38" s="43"/>
      <c r="Z38" s="43"/>
      <c r="AA38" s="43"/>
      <c r="AB38" s="43"/>
      <c r="AC38" s="43"/>
      <c r="AD38" s="43"/>
      <c r="AE38" s="43"/>
      <c r="AF38" s="43"/>
      <c r="AG38" s="201"/>
      <c r="AH38" s="160" t="str">
        <f>B38</f>
        <v>Iron  DPTA</v>
      </c>
      <c r="AI38" s="179">
        <f t="shared" si="4"/>
        <v>0</v>
      </c>
      <c r="AJ38" s="165">
        <f t="shared" si="4"/>
        <v>0</v>
      </c>
      <c r="AK38" s="165">
        <f>K38*0.4364/30.974/100</f>
        <v>0</v>
      </c>
      <c r="AL38" s="165">
        <f>L38*0.83/39.1/100</f>
        <v>0</v>
      </c>
      <c r="AM38" s="165">
        <f>M38*0.715/40.08/100</f>
        <v>0</v>
      </c>
      <c r="AN38" s="165">
        <f>N38*0.603/24.312/100</f>
        <v>0</v>
      </c>
      <c r="AO38" s="165">
        <f>O38/22.9898/100</f>
        <v>0</v>
      </c>
      <c r="AP38" s="165">
        <f>P38*0.4/32.064/100</f>
        <v>0</v>
      </c>
      <c r="AQ38" s="165">
        <f>Q38/35.453/100</f>
        <v>0</v>
      </c>
      <c r="AR38" s="165">
        <f>R38/55.85/100</f>
        <v>1.1638316920322292E-3</v>
      </c>
      <c r="AS38" s="165">
        <f>S38/10.8/100</f>
        <v>0</v>
      </c>
      <c r="AT38" s="165">
        <f>T38/63.55/100</f>
        <v>0</v>
      </c>
      <c r="AU38" s="165">
        <f>U38/65.38/100</f>
        <v>0</v>
      </c>
      <c r="AV38" s="165">
        <f>V38/54.94/100</f>
        <v>0</v>
      </c>
      <c r="AW38" s="180">
        <f>W38/95.95/100</f>
        <v>0</v>
      </c>
      <c r="AX38" s="15"/>
    </row>
    <row r="39" spans="1:50" ht="15.5">
      <c r="A39" s="13"/>
      <c r="B39" s="504" t="s">
        <v>340</v>
      </c>
      <c r="C39" s="509"/>
      <c r="D39" s="505"/>
      <c r="E39" s="194"/>
      <c r="F39" s="191"/>
      <c r="G39" s="202"/>
      <c r="H39" s="157">
        <v>10.961</v>
      </c>
      <c r="I39" s="27"/>
      <c r="J39" s="27"/>
      <c r="K39" s="27"/>
      <c r="L39" s="27"/>
      <c r="M39" s="27"/>
      <c r="N39" s="27"/>
      <c r="O39" s="27"/>
      <c r="P39" s="27"/>
      <c r="Q39" s="27"/>
      <c r="R39" s="188">
        <v>6</v>
      </c>
      <c r="S39" s="188"/>
      <c r="T39" s="188"/>
      <c r="U39" s="188"/>
      <c r="V39" s="188"/>
      <c r="W39" s="188"/>
      <c r="X39" s="199"/>
      <c r="Y39" s="199"/>
      <c r="Z39" s="199"/>
      <c r="AA39" s="199"/>
      <c r="AB39" s="199"/>
      <c r="AC39" s="199"/>
      <c r="AD39" s="199"/>
      <c r="AE39" s="199"/>
      <c r="AF39" s="199"/>
      <c r="AG39" s="14"/>
      <c r="AH39" s="160" t="str">
        <f>B39</f>
        <v>Iron EDDHA</v>
      </c>
      <c r="AI39" s="179">
        <f t="shared" si="4"/>
        <v>0</v>
      </c>
      <c r="AJ39" s="165">
        <f t="shared" si="4"/>
        <v>0</v>
      </c>
      <c r="AK39" s="165">
        <f>K39*0.4364/30.974/100</f>
        <v>0</v>
      </c>
      <c r="AL39" s="165">
        <f>L39*0.83/39.1/100</f>
        <v>0</v>
      </c>
      <c r="AM39" s="165">
        <f>M39*0.715/40.08/100</f>
        <v>0</v>
      </c>
      <c r="AN39" s="165">
        <f>N39*0.603/24.312/100</f>
        <v>0</v>
      </c>
      <c r="AO39" s="165">
        <f>O39/22.9898/100</f>
        <v>0</v>
      </c>
      <c r="AP39" s="165">
        <f>P39*0.4/32.064/100</f>
        <v>0</v>
      </c>
      <c r="AQ39" s="165">
        <f>Q39/35.453/100</f>
        <v>0</v>
      </c>
      <c r="AR39" s="165">
        <f>R39/55.85/100</f>
        <v>1.0743061772605191E-3</v>
      </c>
      <c r="AS39" s="165">
        <f>S39/10.8/100</f>
        <v>0</v>
      </c>
      <c r="AT39" s="165">
        <f>T39/63.55/100</f>
        <v>0</v>
      </c>
      <c r="AU39" s="165">
        <f>U39/65.38/100</f>
        <v>0</v>
      </c>
      <c r="AV39" s="165">
        <f>V39/54.94/100</f>
        <v>0</v>
      </c>
      <c r="AW39" s="180">
        <f>W39/95.95/100</f>
        <v>0</v>
      </c>
      <c r="AX39" s="15"/>
    </row>
    <row r="40" spans="1:50" ht="15.5">
      <c r="A40" s="13"/>
      <c r="B40" s="203"/>
      <c r="C40" s="204"/>
      <c r="D40" s="204"/>
      <c r="E40" s="194"/>
      <c r="F40" s="191"/>
      <c r="G40" s="202"/>
      <c r="H40" s="205"/>
      <c r="I40" s="206"/>
      <c r="J40" s="206"/>
      <c r="K40" s="206"/>
      <c r="L40" s="206"/>
      <c r="M40" s="206"/>
      <c r="N40" s="206"/>
      <c r="O40" s="206"/>
      <c r="P40" s="206"/>
      <c r="Q40" s="206"/>
      <c r="R40" s="207"/>
      <c r="S40" s="208"/>
      <c r="T40" s="208"/>
      <c r="U40" s="208"/>
      <c r="V40" s="208"/>
      <c r="W40" s="208"/>
      <c r="X40" s="208"/>
      <c r="Y40" s="208"/>
      <c r="Z40" s="208"/>
      <c r="AA40" s="208"/>
      <c r="AB40" s="208"/>
      <c r="AC40" s="208"/>
      <c r="AD40" s="208"/>
      <c r="AE40" s="208"/>
      <c r="AF40" s="208"/>
      <c r="AG40" s="14"/>
      <c r="AH40" s="78"/>
      <c r="AI40" s="150"/>
      <c r="AJ40" s="151"/>
      <c r="AK40" s="151"/>
      <c r="AL40" s="151"/>
      <c r="AM40" s="151"/>
      <c r="AN40" s="151"/>
      <c r="AO40" s="151"/>
      <c r="AP40" s="151"/>
      <c r="AQ40" s="151"/>
      <c r="AR40" s="151"/>
      <c r="AS40" s="151"/>
      <c r="AT40" s="151"/>
      <c r="AU40" s="151"/>
      <c r="AV40" s="151"/>
      <c r="AW40" s="152"/>
      <c r="AX40" s="15"/>
    </row>
    <row r="41" spans="1:50" ht="24" customHeight="1">
      <c r="A41" s="13"/>
      <c r="B41" s="518" t="s">
        <v>92</v>
      </c>
      <c r="C41" s="518"/>
      <c r="D41" s="518"/>
      <c r="E41" s="196"/>
      <c r="F41" s="191"/>
      <c r="G41" s="193"/>
      <c r="H41" s="174" t="s">
        <v>48</v>
      </c>
      <c r="I41" s="175" t="s">
        <v>191</v>
      </c>
      <c r="J41" s="175" t="s">
        <v>192</v>
      </c>
      <c r="K41" s="147" t="s">
        <v>193</v>
      </c>
      <c r="L41" s="147" t="s">
        <v>194</v>
      </c>
      <c r="M41" s="147" t="s">
        <v>20</v>
      </c>
      <c r="N41" s="147" t="s">
        <v>21</v>
      </c>
      <c r="O41" s="147" t="s">
        <v>22</v>
      </c>
      <c r="P41" s="147" t="s">
        <v>195</v>
      </c>
      <c r="Q41" s="174" t="s">
        <v>23</v>
      </c>
      <c r="R41" s="174" t="s">
        <v>24</v>
      </c>
      <c r="S41" s="174" t="s">
        <v>27</v>
      </c>
      <c r="T41" s="174" t="s">
        <v>28</v>
      </c>
      <c r="U41" s="174" t="s">
        <v>29</v>
      </c>
      <c r="V41" s="174" t="s">
        <v>30</v>
      </c>
      <c r="W41" s="174" t="s">
        <v>31</v>
      </c>
      <c r="X41" s="209"/>
      <c r="Y41" s="209"/>
      <c r="Z41" s="209"/>
      <c r="AA41" s="209"/>
      <c r="AB41" s="209"/>
      <c r="AC41" s="209"/>
      <c r="AD41" s="209"/>
      <c r="AE41" s="209"/>
      <c r="AF41" s="209"/>
      <c r="AG41" s="14"/>
      <c r="AH41" s="142" t="s">
        <v>44</v>
      </c>
      <c r="AI41" s="150"/>
      <c r="AJ41" s="151"/>
      <c r="AK41" s="151"/>
      <c r="AL41" s="151"/>
      <c r="AM41" s="151"/>
      <c r="AN41" s="151"/>
      <c r="AO41" s="151"/>
      <c r="AP41" s="151"/>
      <c r="AQ41" s="151"/>
      <c r="AR41" s="151"/>
      <c r="AS41" s="151"/>
      <c r="AT41" s="151"/>
      <c r="AU41" s="151"/>
      <c r="AV41" s="151"/>
      <c r="AW41" s="152"/>
      <c r="AX41" s="15"/>
    </row>
    <row r="42" spans="1:50" ht="18" customHeight="1">
      <c r="A42" s="13"/>
      <c r="B42" s="504" t="s">
        <v>342</v>
      </c>
      <c r="C42" s="509"/>
      <c r="D42" s="505"/>
      <c r="E42" s="194"/>
      <c r="F42" s="191"/>
      <c r="G42" s="195"/>
      <c r="H42" s="157"/>
      <c r="I42" s="27"/>
      <c r="J42" s="27"/>
      <c r="K42" s="27"/>
      <c r="L42" s="27"/>
      <c r="M42" s="27"/>
      <c r="N42" s="27"/>
      <c r="O42" s="27"/>
      <c r="P42" s="27"/>
      <c r="Q42" s="27"/>
      <c r="R42" s="188">
        <v>4</v>
      </c>
      <c r="S42" s="188">
        <v>1</v>
      </c>
      <c r="T42" s="188">
        <v>1</v>
      </c>
      <c r="U42" s="188">
        <v>1</v>
      </c>
      <c r="V42" s="188">
        <v>1</v>
      </c>
      <c r="W42" s="188">
        <v>1</v>
      </c>
      <c r="X42" s="199"/>
      <c r="Y42" s="199"/>
      <c r="Z42" s="199"/>
      <c r="AA42" s="199"/>
      <c r="AB42" s="199"/>
      <c r="AC42" s="199"/>
      <c r="AD42" s="199"/>
      <c r="AE42" s="199"/>
      <c r="AF42" s="199"/>
      <c r="AG42" s="14"/>
      <c r="AH42" s="160" t="str">
        <f t="shared" ref="AH42:AH53" si="5">B42</f>
        <v>Microelements MIX 1</v>
      </c>
      <c r="AI42" s="179">
        <f t="shared" ref="AI42:AI53" si="6">I42/14.007/100</f>
        <v>0</v>
      </c>
      <c r="AJ42" s="165">
        <f t="shared" ref="AJ42:AJ53" si="7">J42/14.007/100</f>
        <v>0</v>
      </c>
      <c r="AK42" s="165">
        <f t="shared" ref="AK42:AK53" si="8">K42*0.4364/30.974/100</f>
        <v>0</v>
      </c>
      <c r="AL42" s="165">
        <f t="shared" ref="AL42:AL53" si="9">L42*0.83/39.1/100</f>
        <v>0</v>
      </c>
      <c r="AM42" s="165">
        <f t="shared" ref="AM42:AM53" si="10">M42*0.715/40.08/100</f>
        <v>0</v>
      </c>
      <c r="AN42" s="165">
        <f t="shared" ref="AN42:AN53" si="11">N42*0.603/24.312/100</f>
        <v>0</v>
      </c>
      <c r="AO42" s="165">
        <f t="shared" ref="AO42:AO53" si="12">O42/22.9898/100</f>
        <v>0</v>
      </c>
      <c r="AP42" s="165">
        <f>P42*0.4/32.064/100</f>
        <v>0</v>
      </c>
      <c r="AQ42" s="165">
        <f t="shared" ref="AQ42:AQ53" si="13">Q42/35.453/100</f>
        <v>0</v>
      </c>
      <c r="AR42" s="165">
        <f t="shared" ref="AR42:AR53" si="14">R42/55.85/100</f>
        <v>7.1620411817367941E-4</v>
      </c>
      <c r="AS42" s="165">
        <f t="shared" ref="AS42:AS53" si="15">S42/10.8/100</f>
        <v>9.2592592592592585E-4</v>
      </c>
      <c r="AT42" s="165">
        <f t="shared" ref="AT42:AT53" si="16">T42/63.55/100</f>
        <v>1.5735641227380016E-4</v>
      </c>
      <c r="AU42" s="165">
        <f t="shared" ref="AU42:AU53" si="17">U42/65.38/100</f>
        <v>1.5295197308045274E-4</v>
      </c>
      <c r="AV42" s="165">
        <f t="shared" ref="AV42:AV53" si="18">V42/54.94/100</f>
        <v>1.8201674554058973E-4</v>
      </c>
      <c r="AW42" s="180">
        <f t="shared" ref="AW42:AW53" si="19">W42/95.95/100</f>
        <v>1.0422094841063054E-4</v>
      </c>
      <c r="AX42" s="15"/>
    </row>
    <row r="43" spans="1:50" ht="17.25" customHeight="1">
      <c r="A43" s="13"/>
      <c r="B43" s="506" t="s">
        <v>341</v>
      </c>
      <c r="C43" s="508"/>
      <c r="D43" s="507"/>
      <c r="E43" s="194"/>
      <c r="F43" s="191"/>
      <c r="G43" s="195"/>
      <c r="H43" s="164"/>
      <c r="I43" s="181"/>
      <c r="J43" s="181"/>
      <c r="K43" s="181"/>
      <c r="L43" s="181"/>
      <c r="M43" s="181"/>
      <c r="N43" s="181"/>
      <c r="O43" s="181"/>
      <c r="P43" s="181"/>
      <c r="Q43" s="181"/>
      <c r="R43" s="189"/>
      <c r="S43" s="189"/>
      <c r="T43" s="189"/>
      <c r="U43" s="189"/>
      <c r="V43" s="189"/>
      <c r="W43" s="189"/>
      <c r="X43" s="43"/>
      <c r="Y43" s="43"/>
      <c r="Z43" s="43"/>
      <c r="AA43" s="43"/>
      <c r="AB43" s="43"/>
      <c r="AC43" s="43"/>
      <c r="AD43" s="43"/>
      <c r="AE43" s="43"/>
      <c r="AF43" s="43"/>
      <c r="AG43" s="14"/>
      <c r="AH43" s="160" t="str">
        <f t="shared" si="5"/>
        <v>Microelements MIX 2</v>
      </c>
      <c r="AI43" s="179">
        <f t="shared" si="6"/>
        <v>0</v>
      </c>
      <c r="AJ43" s="165">
        <f t="shared" si="7"/>
        <v>0</v>
      </c>
      <c r="AK43" s="165">
        <f t="shared" si="8"/>
        <v>0</v>
      </c>
      <c r="AL43" s="165">
        <f t="shared" si="9"/>
        <v>0</v>
      </c>
      <c r="AM43" s="165">
        <f t="shared" si="10"/>
        <v>0</v>
      </c>
      <c r="AN43" s="165">
        <f t="shared" si="11"/>
        <v>0</v>
      </c>
      <c r="AO43" s="165">
        <f t="shared" si="12"/>
        <v>0</v>
      </c>
      <c r="AP43" s="165">
        <f t="shared" ref="AP43:AP53" si="20">P43*0.4/32.064/100</f>
        <v>0</v>
      </c>
      <c r="AQ43" s="165">
        <f t="shared" si="13"/>
        <v>0</v>
      </c>
      <c r="AR43" s="165">
        <f t="shared" si="14"/>
        <v>0</v>
      </c>
      <c r="AS43" s="165">
        <f t="shared" si="15"/>
        <v>0</v>
      </c>
      <c r="AT43" s="165">
        <f t="shared" si="16"/>
        <v>0</v>
      </c>
      <c r="AU43" s="165">
        <f t="shared" si="17"/>
        <v>0</v>
      </c>
      <c r="AV43" s="165">
        <f t="shared" si="18"/>
        <v>0</v>
      </c>
      <c r="AW43" s="180">
        <f t="shared" si="19"/>
        <v>0</v>
      </c>
      <c r="AX43" s="15"/>
    </row>
    <row r="44" spans="1:50" ht="16.5">
      <c r="A44" s="13"/>
      <c r="B44" s="504" t="s">
        <v>106</v>
      </c>
      <c r="C44" s="509"/>
      <c r="D44" s="505"/>
      <c r="E44" s="516" t="s">
        <v>210</v>
      </c>
      <c r="F44" s="517"/>
      <c r="G44" s="195"/>
      <c r="H44" s="157">
        <v>10.225</v>
      </c>
      <c r="I44" s="27"/>
      <c r="J44" s="27"/>
      <c r="K44" s="27"/>
      <c r="L44" s="27"/>
      <c r="M44" s="27"/>
      <c r="N44" s="27"/>
      <c r="O44" s="27">
        <v>12.1</v>
      </c>
      <c r="P44" s="27"/>
      <c r="Q44" s="27"/>
      <c r="R44" s="188"/>
      <c r="S44" s="188">
        <v>11.3</v>
      </c>
      <c r="T44" s="188"/>
      <c r="U44" s="188"/>
      <c r="V44" s="188"/>
      <c r="W44" s="188"/>
      <c r="X44" s="199"/>
      <c r="Y44" s="199"/>
      <c r="Z44" s="199"/>
      <c r="AA44" s="199"/>
      <c r="AB44" s="199"/>
      <c r="AC44" s="199"/>
      <c r="AD44" s="199"/>
      <c r="AE44" s="199"/>
      <c r="AF44" s="199"/>
      <c r="AG44" s="14"/>
      <c r="AH44" s="160" t="str">
        <f t="shared" si="5"/>
        <v>Borax</v>
      </c>
      <c r="AI44" s="179">
        <f t="shared" si="6"/>
        <v>0</v>
      </c>
      <c r="AJ44" s="165">
        <f t="shared" si="7"/>
        <v>0</v>
      </c>
      <c r="AK44" s="165">
        <f t="shared" si="8"/>
        <v>0</v>
      </c>
      <c r="AL44" s="165">
        <f t="shared" si="9"/>
        <v>0</v>
      </c>
      <c r="AM44" s="165">
        <f t="shared" si="10"/>
        <v>0</v>
      </c>
      <c r="AN44" s="165">
        <f t="shared" si="11"/>
        <v>0</v>
      </c>
      <c r="AO44" s="165">
        <f t="shared" si="12"/>
        <v>5.2632036816327244E-3</v>
      </c>
      <c r="AP44" s="165">
        <f t="shared" si="20"/>
        <v>0</v>
      </c>
      <c r="AQ44" s="165">
        <f t="shared" si="13"/>
        <v>0</v>
      </c>
      <c r="AR44" s="165">
        <f t="shared" si="14"/>
        <v>0</v>
      </c>
      <c r="AS44" s="165">
        <f t="shared" si="15"/>
        <v>1.0462962962962962E-2</v>
      </c>
      <c r="AT44" s="165">
        <f t="shared" si="16"/>
        <v>0</v>
      </c>
      <c r="AU44" s="165">
        <f t="shared" si="17"/>
        <v>0</v>
      </c>
      <c r="AV44" s="165">
        <f t="shared" si="18"/>
        <v>0</v>
      </c>
      <c r="AW44" s="180">
        <f t="shared" si="19"/>
        <v>0</v>
      </c>
      <c r="AX44" s="15"/>
    </row>
    <row r="45" spans="1:50" ht="16.5">
      <c r="A45" s="13"/>
      <c r="B45" s="506" t="s">
        <v>105</v>
      </c>
      <c r="C45" s="508"/>
      <c r="D45" s="507"/>
      <c r="E45" s="516" t="s">
        <v>211</v>
      </c>
      <c r="F45" s="517"/>
      <c r="G45" s="195"/>
      <c r="H45" s="164">
        <v>19.625</v>
      </c>
      <c r="I45" s="181"/>
      <c r="J45" s="181"/>
      <c r="K45" s="181"/>
      <c r="L45" s="181"/>
      <c r="M45" s="181"/>
      <c r="N45" s="181"/>
      <c r="O45" s="181"/>
      <c r="P45" s="181"/>
      <c r="Q45" s="181"/>
      <c r="R45" s="189"/>
      <c r="S45" s="189">
        <v>17.5</v>
      </c>
      <c r="T45" s="189"/>
      <c r="U45" s="189"/>
      <c r="V45" s="189"/>
      <c r="W45" s="189"/>
      <c r="X45" s="43"/>
      <c r="Y45" s="43"/>
      <c r="Z45" s="43"/>
      <c r="AA45" s="43"/>
      <c r="AB45" s="43"/>
      <c r="AC45" s="43"/>
      <c r="AD45" s="43"/>
      <c r="AE45" s="43"/>
      <c r="AF45" s="43"/>
      <c r="AG45" s="14"/>
      <c r="AH45" s="160" t="str">
        <f t="shared" si="5"/>
        <v>Boric acid</v>
      </c>
      <c r="AI45" s="179">
        <f t="shared" si="6"/>
        <v>0</v>
      </c>
      <c r="AJ45" s="165">
        <f t="shared" si="7"/>
        <v>0</v>
      </c>
      <c r="AK45" s="165">
        <f t="shared" si="8"/>
        <v>0</v>
      </c>
      <c r="AL45" s="165">
        <f t="shared" si="9"/>
        <v>0</v>
      </c>
      <c r="AM45" s="165">
        <f t="shared" si="10"/>
        <v>0</v>
      </c>
      <c r="AN45" s="165">
        <f t="shared" si="11"/>
        <v>0</v>
      </c>
      <c r="AO45" s="165">
        <f t="shared" si="12"/>
        <v>0</v>
      </c>
      <c r="AP45" s="165">
        <f t="shared" si="20"/>
        <v>0</v>
      </c>
      <c r="AQ45" s="165">
        <f t="shared" si="13"/>
        <v>0</v>
      </c>
      <c r="AR45" s="165">
        <f t="shared" si="14"/>
        <v>0</v>
      </c>
      <c r="AS45" s="165">
        <f t="shared" si="15"/>
        <v>1.6203703703703703E-2</v>
      </c>
      <c r="AT45" s="165">
        <f t="shared" si="16"/>
        <v>0</v>
      </c>
      <c r="AU45" s="165">
        <f t="shared" si="17"/>
        <v>0</v>
      </c>
      <c r="AV45" s="165">
        <f t="shared" si="18"/>
        <v>0</v>
      </c>
      <c r="AW45" s="180">
        <f t="shared" si="19"/>
        <v>0</v>
      </c>
      <c r="AX45" s="15"/>
    </row>
    <row r="46" spans="1:50" ht="16.5">
      <c r="A46" s="13"/>
      <c r="B46" s="504" t="s">
        <v>107</v>
      </c>
      <c r="C46" s="509"/>
      <c r="D46" s="505"/>
      <c r="E46" s="516" t="s">
        <v>212</v>
      </c>
      <c r="F46" s="517"/>
      <c r="G46" s="195"/>
      <c r="H46" s="157">
        <v>14.46</v>
      </c>
      <c r="I46" s="27"/>
      <c r="J46" s="27"/>
      <c r="K46" s="27"/>
      <c r="L46" s="27"/>
      <c r="M46" s="27"/>
      <c r="N46" s="27"/>
      <c r="O46" s="27"/>
      <c r="P46" s="27">
        <v>32.1</v>
      </c>
      <c r="Q46" s="27"/>
      <c r="R46" s="188"/>
      <c r="S46" s="188"/>
      <c r="T46" s="188">
        <v>25.5</v>
      </c>
      <c r="U46" s="188"/>
      <c r="V46" s="188"/>
      <c r="W46" s="188"/>
      <c r="X46" s="199"/>
      <c r="Y46" s="199"/>
      <c r="Z46" s="199"/>
      <c r="AA46" s="199"/>
      <c r="AB46" s="199"/>
      <c r="AC46" s="199"/>
      <c r="AD46" s="199"/>
      <c r="AE46" s="199"/>
      <c r="AF46" s="199"/>
      <c r="AG46" s="14"/>
      <c r="AH46" s="160" t="str">
        <f t="shared" si="5"/>
        <v>Copper sulphate</v>
      </c>
      <c r="AI46" s="179">
        <f t="shared" si="6"/>
        <v>0</v>
      </c>
      <c r="AJ46" s="165">
        <f t="shared" si="7"/>
        <v>0</v>
      </c>
      <c r="AK46" s="165">
        <f t="shared" si="8"/>
        <v>0</v>
      </c>
      <c r="AL46" s="165">
        <f t="shared" si="9"/>
        <v>0</v>
      </c>
      <c r="AM46" s="165">
        <f t="shared" si="10"/>
        <v>0</v>
      </c>
      <c r="AN46" s="165">
        <f t="shared" si="11"/>
        <v>0</v>
      </c>
      <c r="AO46" s="165">
        <f t="shared" si="12"/>
        <v>0</v>
      </c>
      <c r="AP46" s="165">
        <f t="shared" si="20"/>
        <v>4.0044910179640727E-3</v>
      </c>
      <c r="AQ46" s="165">
        <f t="shared" si="13"/>
        <v>0</v>
      </c>
      <c r="AR46" s="165">
        <f t="shared" si="14"/>
        <v>0</v>
      </c>
      <c r="AS46" s="165">
        <f t="shared" si="15"/>
        <v>0</v>
      </c>
      <c r="AT46" s="165">
        <f t="shared" si="16"/>
        <v>4.0125885129819044E-3</v>
      </c>
      <c r="AU46" s="165">
        <f t="shared" si="17"/>
        <v>0</v>
      </c>
      <c r="AV46" s="165">
        <f t="shared" si="18"/>
        <v>0</v>
      </c>
      <c r="AW46" s="180">
        <f t="shared" si="19"/>
        <v>0</v>
      </c>
      <c r="AX46" s="15"/>
    </row>
    <row r="47" spans="1:50" ht="15.5">
      <c r="A47" s="13"/>
      <c r="B47" s="506" t="s">
        <v>108</v>
      </c>
      <c r="C47" s="508"/>
      <c r="D47" s="507"/>
      <c r="E47" s="516"/>
      <c r="F47" s="517"/>
      <c r="G47" s="195"/>
      <c r="H47" s="164">
        <v>17.404</v>
      </c>
      <c r="I47" s="181"/>
      <c r="J47" s="181"/>
      <c r="K47" s="181"/>
      <c r="L47" s="181"/>
      <c r="M47" s="181"/>
      <c r="N47" s="181"/>
      <c r="O47" s="181"/>
      <c r="P47" s="181"/>
      <c r="Q47" s="181"/>
      <c r="R47" s="189"/>
      <c r="S47" s="189"/>
      <c r="T47" s="189">
        <v>15</v>
      </c>
      <c r="U47" s="189"/>
      <c r="V47" s="189"/>
      <c r="W47" s="189"/>
      <c r="X47" s="43"/>
      <c r="Y47" s="43"/>
      <c r="Z47" s="43"/>
      <c r="AA47" s="43"/>
      <c r="AB47" s="43"/>
      <c r="AC47" s="43"/>
      <c r="AD47" s="43"/>
      <c r="AE47" s="43"/>
      <c r="AF47" s="43"/>
      <c r="AG47" s="14"/>
      <c r="AH47" s="160" t="str">
        <f t="shared" si="5"/>
        <v>Copper  chelate (EDTA)</v>
      </c>
      <c r="AI47" s="179">
        <f t="shared" si="6"/>
        <v>0</v>
      </c>
      <c r="AJ47" s="165">
        <f t="shared" si="7"/>
        <v>0</v>
      </c>
      <c r="AK47" s="165">
        <f t="shared" si="8"/>
        <v>0</v>
      </c>
      <c r="AL47" s="165">
        <f t="shared" si="9"/>
        <v>0</v>
      </c>
      <c r="AM47" s="165">
        <f t="shared" si="10"/>
        <v>0</v>
      </c>
      <c r="AN47" s="165">
        <f t="shared" si="11"/>
        <v>0</v>
      </c>
      <c r="AO47" s="165">
        <f t="shared" si="12"/>
        <v>0</v>
      </c>
      <c r="AP47" s="165">
        <f t="shared" si="20"/>
        <v>0</v>
      </c>
      <c r="AQ47" s="165">
        <f t="shared" si="13"/>
        <v>0</v>
      </c>
      <c r="AR47" s="165">
        <f t="shared" si="14"/>
        <v>0</v>
      </c>
      <c r="AS47" s="165">
        <f t="shared" si="15"/>
        <v>0</v>
      </c>
      <c r="AT47" s="165">
        <f t="shared" si="16"/>
        <v>2.3603461841070024E-3</v>
      </c>
      <c r="AU47" s="165">
        <f t="shared" si="17"/>
        <v>0</v>
      </c>
      <c r="AV47" s="165">
        <f t="shared" si="18"/>
        <v>0</v>
      </c>
      <c r="AW47" s="180">
        <f t="shared" si="19"/>
        <v>0</v>
      </c>
      <c r="AX47" s="15"/>
    </row>
    <row r="48" spans="1:50" ht="16.5">
      <c r="A48" s="13"/>
      <c r="B48" s="504" t="s">
        <v>109</v>
      </c>
      <c r="C48" s="509"/>
      <c r="D48" s="505"/>
      <c r="E48" s="516" t="s">
        <v>213</v>
      </c>
      <c r="F48" s="517"/>
      <c r="G48" s="195"/>
      <c r="H48" s="157">
        <v>30.78</v>
      </c>
      <c r="I48" s="27"/>
      <c r="J48" s="27"/>
      <c r="K48" s="27"/>
      <c r="L48" s="27"/>
      <c r="M48" s="27"/>
      <c r="N48" s="27"/>
      <c r="O48" s="27"/>
      <c r="P48" s="27">
        <v>27.8</v>
      </c>
      <c r="Q48" s="27"/>
      <c r="R48" s="188"/>
      <c r="S48" s="188"/>
      <c r="T48" s="188"/>
      <c r="U48" s="188">
        <v>22.7</v>
      </c>
      <c r="V48" s="188"/>
      <c r="W48" s="188"/>
      <c r="X48" s="199"/>
      <c r="Y48" s="199"/>
      <c r="Z48" s="199"/>
      <c r="AA48" s="199"/>
      <c r="AB48" s="199"/>
      <c r="AC48" s="199"/>
      <c r="AD48" s="199"/>
      <c r="AE48" s="199"/>
      <c r="AF48" s="199"/>
      <c r="AG48" s="14"/>
      <c r="AH48" s="160" t="str">
        <f t="shared" si="5"/>
        <v>Zinc sulphate</v>
      </c>
      <c r="AI48" s="179">
        <f t="shared" si="6"/>
        <v>0</v>
      </c>
      <c r="AJ48" s="165">
        <f t="shared" si="7"/>
        <v>0</v>
      </c>
      <c r="AK48" s="165">
        <f t="shared" si="8"/>
        <v>0</v>
      </c>
      <c r="AL48" s="165">
        <f t="shared" si="9"/>
        <v>0</v>
      </c>
      <c r="AM48" s="165">
        <f t="shared" si="10"/>
        <v>0</v>
      </c>
      <c r="AN48" s="165">
        <f t="shared" si="11"/>
        <v>0</v>
      </c>
      <c r="AO48" s="165">
        <f t="shared" si="12"/>
        <v>0</v>
      </c>
      <c r="AP48" s="165">
        <f t="shared" si="20"/>
        <v>3.4680638722554892E-3</v>
      </c>
      <c r="AQ48" s="165">
        <f t="shared" si="13"/>
        <v>0</v>
      </c>
      <c r="AR48" s="165">
        <f t="shared" si="14"/>
        <v>0</v>
      </c>
      <c r="AS48" s="165">
        <f t="shared" si="15"/>
        <v>0</v>
      </c>
      <c r="AT48" s="165">
        <f t="shared" si="16"/>
        <v>0</v>
      </c>
      <c r="AU48" s="165">
        <f t="shared" si="17"/>
        <v>3.4720097889262775E-3</v>
      </c>
      <c r="AV48" s="165">
        <f t="shared" si="18"/>
        <v>0</v>
      </c>
      <c r="AW48" s="180">
        <f t="shared" si="19"/>
        <v>0</v>
      </c>
      <c r="AX48" s="15"/>
    </row>
    <row r="49" spans="1:50" ht="15.5">
      <c r="A49" s="13"/>
      <c r="B49" s="506" t="s">
        <v>110</v>
      </c>
      <c r="C49" s="508"/>
      <c r="D49" s="507"/>
      <c r="E49" s="516"/>
      <c r="F49" s="517"/>
      <c r="G49" s="177"/>
      <c r="H49" s="164">
        <v>14.663</v>
      </c>
      <c r="I49" s="181"/>
      <c r="J49" s="181"/>
      <c r="K49" s="181"/>
      <c r="L49" s="181"/>
      <c r="M49" s="181"/>
      <c r="N49" s="181"/>
      <c r="O49" s="181"/>
      <c r="P49" s="181"/>
      <c r="Q49" s="181"/>
      <c r="R49" s="189"/>
      <c r="S49" s="189"/>
      <c r="T49" s="189"/>
      <c r="U49" s="189">
        <v>15</v>
      </c>
      <c r="V49" s="189"/>
      <c r="W49" s="189"/>
      <c r="X49" s="43"/>
      <c r="Y49" s="43"/>
      <c r="Z49" s="43"/>
      <c r="AA49" s="43"/>
      <c r="AB49" s="43"/>
      <c r="AC49" s="43"/>
      <c r="AD49" s="43"/>
      <c r="AE49" s="43"/>
      <c r="AF49" s="43"/>
      <c r="AG49" s="14"/>
      <c r="AH49" s="160" t="str">
        <f t="shared" si="5"/>
        <v>Zinc chelate (EDTA)</v>
      </c>
      <c r="AI49" s="179">
        <f t="shared" si="6"/>
        <v>0</v>
      </c>
      <c r="AJ49" s="165">
        <f t="shared" si="7"/>
        <v>0</v>
      </c>
      <c r="AK49" s="165">
        <f t="shared" si="8"/>
        <v>0</v>
      </c>
      <c r="AL49" s="165">
        <f t="shared" si="9"/>
        <v>0</v>
      </c>
      <c r="AM49" s="165">
        <f t="shared" si="10"/>
        <v>0</v>
      </c>
      <c r="AN49" s="165">
        <f t="shared" si="11"/>
        <v>0</v>
      </c>
      <c r="AO49" s="165">
        <f t="shared" si="12"/>
        <v>0</v>
      </c>
      <c r="AP49" s="165">
        <f t="shared" si="20"/>
        <v>0</v>
      </c>
      <c r="AQ49" s="165">
        <f t="shared" si="13"/>
        <v>0</v>
      </c>
      <c r="AR49" s="165">
        <f t="shared" si="14"/>
        <v>0</v>
      </c>
      <c r="AS49" s="165">
        <f t="shared" si="15"/>
        <v>0</v>
      </c>
      <c r="AT49" s="165">
        <f t="shared" si="16"/>
        <v>0</v>
      </c>
      <c r="AU49" s="165">
        <f t="shared" si="17"/>
        <v>2.2942795962067912E-3</v>
      </c>
      <c r="AV49" s="165">
        <f t="shared" si="18"/>
        <v>0</v>
      </c>
      <c r="AW49" s="180">
        <f t="shared" si="19"/>
        <v>0</v>
      </c>
      <c r="AX49" s="15"/>
    </row>
    <row r="50" spans="1:50" ht="16.5">
      <c r="A50" s="13"/>
      <c r="B50" s="504" t="s">
        <v>111</v>
      </c>
      <c r="C50" s="509"/>
      <c r="D50" s="505"/>
      <c r="E50" s="516" t="s">
        <v>214</v>
      </c>
      <c r="F50" s="517"/>
      <c r="G50" s="177"/>
      <c r="H50" s="157">
        <v>50</v>
      </c>
      <c r="I50" s="27"/>
      <c r="J50" s="27"/>
      <c r="K50" s="27"/>
      <c r="L50" s="27"/>
      <c r="M50" s="27"/>
      <c r="N50" s="27"/>
      <c r="O50" s="27"/>
      <c r="P50" s="27">
        <v>47.5</v>
      </c>
      <c r="Q50" s="27"/>
      <c r="R50" s="188"/>
      <c r="S50" s="188"/>
      <c r="T50" s="188"/>
      <c r="U50" s="188"/>
      <c r="V50" s="188">
        <v>32.5</v>
      </c>
      <c r="W50" s="188"/>
      <c r="X50" s="199"/>
      <c r="Y50" s="199"/>
      <c r="Z50" s="199"/>
      <c r="AA50" s="199"/>
      <c r="AB50" s="199"/>
      <c r="AC50" s="199"/>
      <c r="AD50" s="199"/>
      <c r="AE50" s="199"/>
      <c r="AF50" s="199"/>
      <c r="AG50" s="14"/>
      <c r="AH50" s="160" t="str">
        <f t="shared" si="5"/>
        <v>Manganese sulphate</v>
      </c>
      <c r="AI50" s="179">
        <f t="shared" si="6"/>
        <v>0</v>
      </c>
      <c r="AJ50" s="165">
        <f t="shared" si="7"/>
        <v>0</v>
      </c>
      <c r="AK50" s="165">
        <f t="shared" si="8"/>
        <v>0</v>
      </c>
      <c r="AL50" s="165">
        <f t="shared" si="9"/>
        <v>0</v>
      </c>
      <c r="AM50" s="165">
        <f t="shared" si="10"/>
        <v>0</v>
      </c>
      <c r="AN50" s="165">
        <f t="shared" si="11"/>
        <v>0</v>
      </c>
      <c r="AO50" s="165">
        <f t="shared" si="12"/>
        <v>0</v>
      </c>
      <c r="AP50" s="165">
        <f t="shared" si="20"/>
        <v>5.92564870259481E-3</v>
      </c>
      <c r="AQ50" s="165">
        <f t="shared" si="13"/>
        <v>0</v>
      </c>
      <c r="AR50" s="165">
        <f t="shared" si="14"/>
        <v>0</v>
      </c>
      <c r="AS50" s="165">
        <f t="shared" si="15"/>
        <v>0</v>
      </c>
      <c r="AT50" s="165">
        <f t="shared" si="16"/>
        <v>0</v>
      </c>
      <c r="AU50" s="165">
        <f t="shared" si="17"/>
        <v>0</v>
      </c>
      <c r="AV50" s="165">
        <f t="shared" si="18"/>
        <v>5.915544230069166E-3</v>
      </c>
      <c r="AW50" s="180">
        <f t="shared" si="19"/>
        <v>0</v>
      </c>
      <c r="AX50" s="15"/>
    </row>
    <row r="51" spans="1:50" ht="15.5">
      <c r="A51" s="13"/>
      <c r="B51" s="506" t="s">
        <v>112</v>
      </c>
      <c r="C51" s="508"/>
      <c r="D51" s="507"/>
      <c r="E51" s="516"/>
      <c r="F51" s="517"/>
      <c r="G51" s="177"/>
      <c r="H51" s="164">
        <v>30</v>
      </c>
      <c r="I51" s="181"/>
      <c r="J51" s="181"/>
      <c r="K51" s="181"/>
      <c r="L51" s="181"/>
      <c r="M51" s="181"/>
      <c r="N51" s="181"/>
      <c r="O51" s="181"/>
      <c r="P51" s="181"/>
      <c r="Q51" s="181"/>
      <c r="R51" s="189"/>
      <c r="S51" s="189"/>
      <c r="T51" s="189"/>
      <c r="U51" s="189"/>
      <c r="V51" s="189">
        <v>15</v>
      </c>
      <c r="W51" s="189"/>
      <c r="X51" s="43"/>
      <c r="Y51" s="43"/>
      <c r="Z51" s="43"/>
      <c r="AA51" s="43"/>
      <c r="AB51" s="43"/>
      <c r="AC51" s="43"/>
      <c r="AD51" s="43"/>
      <c r="AE51" s="43"/>
      <c r="AF51" s="43"/>
      <c r="AG51" s="14"/>
      <c r="AH51" s="160" t="str">
        <f t="shared" si="5"/>
        <v>Manganese chelate</v>
      </c>
      <c r="AI51" s="179">
        <f t="shared" si="6"/>
        <v>0</v>
      </c>
      <c r="AJ51" s="165">
        <f t="shared" si="7"/>
        <v>0</v>
      </c>
      <c r="AK51" s="165">
        <f t="shared" si="8"/>
        <v>0</v>
      </c>
      <c r="AL51" s="165">
        <f t="shared" si="9"/>
        <v>0</v>
      </c>
      <c r="AM51" s="165">
        <f t="shared" si="10"/>
        <v>0</v>
      </c>
      <c r="AN51" s="165">
        <f t="shared" si="11"/>
        <v>0</v>
      </c>
      <c r="AO51" s="165">
        <f t="shared" si="12"/>
        <v>0</v>
      </c>
      <c r="AP51" s="165">
        <f t="shared" si="20"/>
        <v>0</v>
      </c>
      <c r="AQ51" s="165">
        <f t="shared" si="13"/>
        <v>0</v>
      </c>
      <c r="AR51" s="165">
        <f t="shared" si="14"/>
        <v>0</v>
      </c>
      <c r="AS51" s="165">
        <f t="shared" si="15"/>
        <v>0</v>
      </c>
      <c r="AT51" s="165">
        <f t="shared" si="16"/>
        <v>0</v>
      </c>
      <c r="AU51" s="165">
        <f t="shared" si="17"/>
        <v>0</v>
      </c>
      <c r="AV51" s="165">
        <f t="shared" si="18"/>
        <v>2.7302511831088462E-3</v>
      </c>
      <c r="AW51" s="180">
        <f t="shared" si="19"/>
        <v>0</v>
      </c>
      <c r="AX51" s="15"/>
    </row>
    <row r="52" spans="1:50" ht="16.5">
      <c r="A52" s="13"/>
      <c r="B52" s="504" t="s">
        <v>113</v>
      </c>
      <c r="C52" s="509"/>
      <c r="D52" s="505"/>
      <c r="E52" s="516" t="s">
        <v>215</v>
      </c>
      <c r="F52" s="517"/>
      <c r="G52" s="177"/>
      <c r="H52" s="157">
        <v>37</v>
      </c>
      <c r="I52" s="27"/>
      <c r="J52" s="27">
        <v>14</v>
      </c>
      <c r="K52" s="27"/>
      <c r="L52" s="27"/>
      <c r="M52" s="27"/>
      <c r="N52" s="27"/>
      <c r="O52" s="27"/>
      <c r="P52" s="27"/>
      <c r="Q52" s="27"/>
      <c r="R52" s="188"/>
      <c r="S52" s="188"/>
      <c r="T52" s="188"/>
      <c r="U52" s="188"/>
      <c r="V52" s="188"/>
      <c r="W52" s="188">
        <v>54.4</v>
      </c>
      <c r="X52" s="199"/>
      <c r="Y52" s="199"/>
      <c r="Z52" s="199"/>
      <c r="AA52" s="199"/>
      <c r="AB52" s="199"/>
      <c r="AC52" s="199"/>
      <c r="AD52" s="199"/>
      <c r="AE52" s="199"/>
      <c r="AF52" s="199"/>
      <c r="AG52" s="14"/>
      <c r="AH52" s="160" t="str">
        <f t="shared" si="5"/>
        <v>Ammonium heptamolybdate</v>
      </c>
      <c r="AI52" s="179">
        <f t="shared" si="6"/>
        <v>0</v>
      </c>
      <c r="AJ52" s="165">
        <f t="shared" si="7"/>
        <v>9.9950024987506252E-3</v>
      </c>
      <c r="AK52" s="165">
        <f t="shared" si="8"/>
        <v>0</v>
      </c>
      <c r="AL52" s="165">
        <f t="shared" si="9"/>
        <v>0</v>
      </c>
      <c r="AM52" s="165">
        <f t="shared" si="10"/>
        <v>0</v>
      </c>
      <c r="AN52" s="165">
        <f t="shared" si="11"/>
        <v>0</v>
      </c>
      <c r="AO52" s="165">
        <f t="shared" si="12"/>
        <v>0</v>
      </c>
      <c r="AP52" s="165">
        <f t="shared" si="20"/>
        <v>0</v>
      </c>
      <c r="AQ52" s="165">
        <f t="shared" si="13"/>
        <v>0</v>
      </c>
      <c r="AR52" s="165">
        <f t="shared" si="14"/>
        <v>0</v>
      </c>
      <c r="AS52" s="165">
        <f t="shared" si="15"/>
        <v>0</v>
      </c>
      <c r="AT52" s="165">
        <f t="shared" si="16"/>
        <v>0</v>
      </c>
      <c r="AU52" s="165">
        <f t="shared" si="17"/>
        <v>0</v>
      </c>
      <c r="AV52" s="165">
        <f t="shared" si="18"/>
        <v>0</v>
      </c>
      <c r="AW52" s="180">
        <f t="shared" si="19"/>
        <v>5.6696195935383008E-3</v>
      </c>
      <c r="AX52" s="15"/>
    </row>
    <row r="53" spans="1:50" ht="16.5">
      <c r="A53" s="13"/>
      <c r="B53" s="506" t="s">
        <v>114</v>
      </c>
      <c r="C53" s="508"/>
      <c r="D53" s="507"/>
      <c r="E53" s="516" t="s">
        <v>216</v>
      </c>
      <c r="F53" s="517"/>
      <c r="G53" s="195"/>
      <c r="H53" s="164">
        <v>37.26</v>
      </c>
      <c r="I53" s="181"/>
      <c r="J53" s="181"/>
      <c r="K53" s="181"/>
      <c r="L53" s="181"/>
      <c r="M53" s="181"/>
      <c r="N53" s="181"/>
      <c r="O53" s="181">
        <v>19</v>
      </c>
      <c r="P53" s="181"/>
      <c r="Q53" s="181"/>
      <c r="R53" s="189"/>
      <c r="S53" s="189"/>
      <c r="T53" s="189"/>
      <c r="U53" s="189"/>
      <c r="V53" s="189"/>
      <c r="W53" s="189">
        <v>39.700000000000003</v>
      </c>
      <c r="X53" s="43"/>
      <c r="Y53" s="43"/>
      <c r="Z53" s="43"/>
      <c r="AA53" s="43"/>
      <c r="AB53" s="43"/>
      <c r="AC53" s="43"/>
      <c r="AD53" s="43"/>
      <c r="AE53" s="43"/>
      <c r="AF53" s="43"/>
      <c r="AG53" s="14"/>
      <c r="AH53" s="160" t="str">
        <f t="shared" si="5"/>
        <v>Sodium molybdate</v>
      </c>
      <c r="AI53" s="179">
        <f t="shared" si="6"/>
        <v>0</v>
      </c>
      <c r="AJ53" s="165">
        <f t="shared" si="7"/>
        <v>0</v>
      </c>
      <c r="AK53" s="165">
        <f t="shared" si="8"/>
        <v>0</v>
      </c>
      <c r="AL53" s="165">
        <f t="shared" si="9"/>
        <v>0</v>
      </c>
      <c r="AM53" s="165">
        <f t="shared" si="10"/>
        <v>0</v>
      </c>
      <c r="AN53" s="165">
        <f t="shared" si="11"/>
        <v>0</v>
      </c>
      <c r="AO53" s="165">
        <f t="shared" si="12"/>
        <v>8.2645347066960129E-3</v>
      </c>
      <c r="AP53" s="165">
        <f t="shared" si="20"/>
        <v>0</v>
      </c>
      <c r="AQ53" s="165">
        <f t="shared" si="13"/>
        <v>0</v>
      </c>
      <c r="AR53" s="165">
        <f t="shared" si="14"/>
        <v>0</v>
      </c>
      <c r="AS53" s="165">
        <f t="shared" si="15"/>
        <v>0</v>
      </c>
      <c r="AT53" s="165">
        <f t="shared" si="16"/>
        <v>0</v>
      </c>
      <c r="AU53" s="165">
        <f t="shared" si="17"/>
        <v>0</v>
      </c>
      <c r="AV53" s="165">
        <f t="shared" si="18"/>
        <v>0</v>
      </c>
      <c r="AW53" s="180">
        <f t="shared" si="19"/>
        <v>4.137571651902032E-3</v>
      </c>
      <c r="AX53" s="15"/>
    </row>
    <row r="54" spans="1:50" ht="18">
      <c r="A54" s="13"/>
      <c r="B54" s="515" t="s">
        <v>115</v>
      </c>
      <c r="C54" s="515"/>
      <c r="D54" s="515"/>
      <c r="E54" s="194"/>
      <c r="F54" s="191"/>
      <c r="G54" s="202"/>
      <c r="H54" s="205"/>
      <c r="I54" s="206"/>
      <c r="J54" s="206"/>
      <c r="K54" s="206"/>
      <c r="L54" s="206"/>
      <c r="M54" s="206"/>
      <c r="N54" s="206"/>
      <c r="O54" s="206"/>
      <c r="P54" s="206"/>
      <c r="Q54" s="206"/>
      <c r="R54" s="207"/>
      <c r="S54" s="208"/>
      <c r="T54" s="208"/>
      <c r="U54" s="208"/>
      <c r="V54" s="208"/>
      <c r="W54" s="208"/>
      <c r="X54" s="208"/>
      <c r="Y54" s="208"/>
      <c r="Z54" s="208"/>
      <c r="AA54" s="208"/>
      <c r="AB54" s="208"/>
      <c r="AC54" s="208"/>
      <c r="AD54" s="208"/>
      <c r="AE54" s="208"/>
      <c r="AF54" s="208"/>
      <c r="AG54" s="14"/>
      <c r="AH54" s="78"/>
      <c r="AI54" s="150"/>
      <c r="AJ54" s="151"/>
      <c r="AK54" s="151"/>
      <c r="AL54" s="151"/>
      <c r="AM54" s="151"/>
      <c r="AN54" s="151"/>
      <c r="AO54" s="151"/>
      <c r="AP54" s="151"/>
      <c r="AQ54" s="151"/>
      <c r="AR54" s="151"/>
      <c r="AS54" s="151"/>
      <c r="AT54" s="151"/>
      <c r="AU54" s="151"/>
      <c r="AV54" s="151"/>
      <c r="AW54" s="152"/>
      <c r="AX54" s="15"/>
    </row>
    <row r="55" spans="1:50" ht="15.5">
      <c r="A55" s="13"/>
      <c r="B55" s="504" t="s">
        <v>116</v>
      </c>
      <c r="C55" s="509"/>
      <c r="D55" s="505"/>
      <c r="E55" s="516" t="s">
        <v>55</v>
      </c>
      <c r="F55" s="517"/>
      <c r="G55" s="202"/>
      <c r="H55" s="157">
        <v>0.5</v>
      </c>
      <c r="I55" s="27"/>
      <c r="J55" s="27"/>
      <c r="K55" s="27"/>
      <c r="L55" s="27"/>
      <c r="M55" s="27"/>
      <c r="N55" s="27"/>
      <c r="O55" s="27">
        <v>39.340000000000003</v>
      </c>
      <c r="P55" s="27"/>
      <c r="Q55" s="27">
        <v>60.66</v>
      </c>
      <c r="R55" s="188"/>
      <c r="S55" s="188"/>
      <c r="T55" s="188"/>
      <c r="U55" s="188"/>
      <c r="V55" s="188"/>
      <c r="W55" s="188"/>
      <c r="X55" s="199"/>
      <c r="Y55" s="199"/>
      <c r="Z55" s="199"/>
      <c r="AA55" s="199"/>
      <c r="AB55" s="199"/>
      <c r="AC55" s="199"/>
      <c r="AD55" s="199"/>
      <c r="AE55" s="199"/>
      <c r="AF55" s="199"/>
      <c r="AG55" s="14"/>
      <c r="AH55" s="160" t="str">
        <f>B55</f>
        <v>Sodium choride</v>
      </c>
      <c r="AI55" s="179">
        <f>I55/14.007/100</f>
        <v>0</v>
      </c>
      <c r="AJ55" s="165">
        <f>J55/14.007/100</f>
        <v>0</v>
      </c>
      <c r="AK55" s="165">
        <f>K55*0.4364/30.974/100</f>
        <v>0</v>
      </c>
      <c r="AL55" s="165">
        <f>L55*0.83/39.1/100</f>
        <v>0</v>
      </c>
      <c r="AM55" s="165">
        <f>M55*0.715/40.08/100</f>
        <v>0</v>
      </c>
      <c r="AN55" s="165">
        <f>N55*0.603/24.312/100</f>
        <v>0</v>
      </c>
      <c r="AO55" s="165">
        <f>O55/22.9898/100</f>
        <v>1.7111936597969536E-2</v>
      </c>
      <c r="AP55" s="165">
        <f>P55*0.4/32.064/100</f>
        <v>0</v>
      </c>
      <c r="AQ55" s="165">
        <f>Q55/35.453/100</f>
        <v>1.7109976588723094E-2</v>
      </c>
      <c r="AR55" s="165">
        <f>R55/55.85/100</f>
        <v>0</v>
      </c>
      <c r="AS55" s="165">
        <f>S55/10.8/100</f>
        <v>0</v>
      </c>
      <c r="AT55" s="165">
        <f>T55/63.55/100</f>
        <v>0</v>
      </c>
      <c r="AU55" s="165">
        <f>U55/65.38/100</f>
        <v>0</v>
      </c>
      <c r="AV55" s="165">
        <f>V55/54.94/100</f>
        <v>0</v>
      </c>
      <c r="AW55" s="180">
        <f>W55/95.95/100</f>
        <v>0</v>
      </c>
      <c r="AX55" s="15"/>
    </row>
    <row r="56" spans="1:50">
      <c r="A56" s="13"/>
      <c r="B56" s="14"/>
      <c r="C56" s="14"/>
      <c r="D56" s="14"/>
      <c r="E56" s="14"/>
      <c r="F56" s="14"/>
      <c r="G56" s="18"/>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67"/>
      <c r="AI56" s="67"/>
      <c r="AJ56" s="67"/>
      <c r="AK56" s="67"/>
      <c r="AL56" s="67"/>
      <c r="AM56" s="67"/>
      <c r="AN56" s="67"/>
      <c r="AO56" s="67"/>
      <c r="AP56" s="67"/>
      <c r="AQ56" s="67"/>
      <c r="AR56" s="67"/>
      <c r="AS56" s="67"/>
      <c r="AT56" s="67"/>
      <c r="AU56" s="67"/>
      <c r="AV56" s="67"/>
      <c r="AW56" s="67"/>
      <c r="AX56" s="15"/>
    </row>
    <row r="57" spans="1:50">
      <c r="A57" s="13"/>
      <c r="B57" s="14"/>
      <c r="C57" s="14"/>
      <c r="D57" s="14"/>
      <c r="E57" s="14"/>
      <c r="F57" s="14"/>
      <c r="G57" s="18"/>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5"/>
      <c r="AI57" s="15"/>
      <c r="AJ57" s="15"/>
      <c r="AK57" s="15"/>
      <c r="AL57" s="15"/>
      <c r="AM57" s="15"/>
      <c r="AN57" s="15"/>
      <c r="AO57" s="15"/>
      <c r="AP57" s="15"/>
      <c r="AQ57" s="15"/>
      <c r="AR57" s="15"/>
      <c r="AS57" s="15"/>
      <c r="AT57" s="15"/>
      <c r="AU57" s="15"/>
      <c r="AV57" s="15"/>
      <c r="AW57" s="15"/>
      <c r="AX57" s="15"/>
    </row>
    <row r="58" spans="1:50">
      <c r="A58" s="13"/>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5"/>
      <c r="AI58" s="15"/>
      <c r="AJ58" s="15"/>
      <c r="AK58" s="15"/>
      <c r="AL58" s="15"/>
      <c r="AM58" s="15"/>
      <c r="AN58" s="15"/>
      <c r="AO58" s="15"/>
      <c r="AP58" s="15"/>
      <c r="AQ58" s="15"/>
      <c r="AR58" s="15"/>
      <c r="AS58" s="15"/>
      <c r="AT58" s="15"/>
      <c r="AU58" s="15"/>
      <c r="AV58" s="15"/>
      <c r="AW58" s="15"/>
      <c r="AX58" s="15"/>
    </row>
    <row r="59" spans="1:50">
      <c r="A59" s="13"/>
      <c r="B59" s="14"/>
      <c r="C59" s="14"/>
      <c r="D59" s="14"/>
      <c r="E59" s="14"/>
      <c r="F59" s="210"/>
      <c r="G59" s="210"/>
      <c r="H59" s="210"/>
      <c r="I59" s="210"/>
      <c r="J59" s="210"/>
      <c r="K59" s="210"/>
      <c r="L59" s="210"/>
      <c r="M59" s="210"/>
      <c r="N59" s="210"/>
      <c r="O59" s="210"/>
      <c r="P59" s="210"/>
      <c r="Q59" s="210"/>
      <c r="R59" s="210"/>
      <c r="S59" s="210"/>
      <c r="T59" s="210"/>
      <c r="U59" s="14"/>
      <c r="V59" s="14"/>
      <c r="W59" s="14"/>
      <c r="X59" s="14"/>
      <c r="Y59" s="14"/>
      <c r="Z59" s="14"/>
      <c r="AA59" s="14"/>
      <c r="AB59" s="14"/>
      <c r="AC59" s="14"/>
      <c r="AD59" s="14"/>
      <c r="AE59" s="14"/>
      <c r="AF59" s="14"/>
      <c r="AG59" s="14"/>
      <c r="AH59" s="15"/>
      <c r="AI59" s="15"/>
      <c r="AJ59" s="15"/>
      <c r="AK59" s="15"/>
      <c r="AL59" s="15"/>
      <c r="AM59" s="15"/>
      <c r="AN59" s="15"/>
      <c r="AO59" s="15"/>
      <c r="AP59" s="15"/>
      <c r="AQ59" s="15"/>
      <c r="AR59" s="15"/>
      <c r="AS59" s="15"/>
      <c r="AT59" s="15"/>
      <c r="AU59" s="15"/>
      <c r="AV59" s="15"/>
      <c r="AW59" s="15"/>
      <c r="AX59" s="15"/>
    </row>
    <row r="60" spans="1:50">
      <c r="A60" s="13"/>
      <c r="B60" s="14"/>
      <c r="C60" s="14"/>
      <c r="D60" s="14"/>
      <c r="E60" s="14"/>
      <c r="F60" s="210"/>
      <c r="G60" s="210"/>
      <c r="H60" s="210"/>
      <c r="I60" s="210"/>
      <c r="J60" s="210"/>
      <c r="K60" s="210"/>
      <c r="L60" s="210"/>
      <c r="M60" s="210"/>
      <c r="N60" s="210"/>
      <c r="O60" s="210"/>
      <c r="P60" s="210"/>
      <c r="Q60" s="210"/>
      <c r="R60" s="210"/>
      <c r="S60" s="210"/>
      <c r="T60" s="210"/>
      <c r="U60" s="14"/>
      <c r="V60" s="14"/>
      <c r="W60" s="14"/>
      <c r="X60" s="14"/>
      <c r="Y60" s="14"/>
      <c r="Z60" s="14"/>
      <c r="AA60" s="14"/>
      <c r="AB60" s="14"/>
      <c r="AC60" s="14"/>
      <c r="AD60" s="14"/>
      <c r="AE60" s="14"/>
      <c r="AF60" s="14"/>
      <c r="AG60" s="14"/>
      <c r="AH60" s="15"/>
      <c r="AI60" s="15"/>
      <c r="AJ60" s="15"/>
      <c r="AK60" s="15"/>
      <c r="AL60" s="15"/>
      <c r="AM60" s="15"/>
      <c r="AN60" s="15"/>
      <c r="AO60" s="15"/>
      <c r="AP60" s="15"/>
      <c r="AQ60" s="15"/>
      <c r="AR60" s="15"/>
      <c r="AS60" s="15"/>
      <c r="AT60" s="15"/>
      <c r="AU60" s="15"/>
      <c r="AV60" s="15"/>
      <c r="AW60" s="15"/>
      <c r="AX60" s="15"/>
    </row>
    <row r="61" spans="1:50">
      <c r="A61" s="13"/>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5"/>
      <c r="AI61" s="15"/>
      <c r="AJ61" s="15"/>
      <c r="AK61" s="15"/>
      <c r="AL61" s="15"/>
      <c r="AM61" s="15"/>
      <c r="AN61" s="15"/>
      <c r="AO61" s="15"/>
      <c r="AP61" s="15"/>
      <c r="AQ61" s="15"/>
      <c r="AR61" s="15"/>
      <c r="AS61" s="15"/>
      <c r="AT61" s="15"/>
      <c r="AU61" s="15"/>
      <c r="AV61" s="15"/>
      <c r="AW61" s="15"/>
      <c r="AX61" s="15"/>
    </row>
    <row r="62" spans="1:50">
      <c r="A62" s="13"/>
      <c r="B62" s="13"/>
      <c r="C62" s="13"/>
      <c r="D62" s="13"/>
      <c r="E62" s="13"/>
      <c r="F62" s="13"/>
      <c r="G62" s="211"/>
      <c r="H62" s="211"/>
      <c r="I62" s="211"/>
      <c r="J62" s="211"/>
      <c r="K62" s="211"/>
      <c r="L62" s="211"/>
      <c r="M62" s="13"/>
      <c r="N62" s="13"/>
      <c r="O62" s="13"/>
      <c r="P62" s="13"/>
      <c r="Q62" s="13"/>
      <c r="R62" s="13"/>
      <c r="S62" s="13"/>
      <c r="T62" s="13"/>
      <c r="U62" s="13"/>
      <c r="V62" s="13"/>
      <c r="W62" s="13"/>
      <c r="X62" s="13"/>
      <c r="Y62" s="13"/>
      <c r="Z62" s="13"/>
      <c r="AA62" s="13"/>
      <c r="AB62" s="13"/>
      <c r="AC62" s="13"/>
      <c r="AD62" s="13"/>
      <c r="AE62" s="13"/>
      <c r="AF62" s="13"/>
      <c r="AG62" s="13"/>
    </row>
    <row r="63" spans="1:50">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row>
    <row r="64" spans="1:50">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row>
    <row r="65" spans="1:3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row>
    <row r="66" spans="1:3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c r="A67" s="13"/>
      <c r="W67" s="129"/>
      <c r="X67" s="129"/>
      <c r="Y67" s="129"/>
      <c r="Z67" s="129"/>
      <c r="AA67" s="129"/>
      <c r="AB67" s="129"/>
      <c r="AC67" s="129"/>
      <c r="AD67" s="129"/>
      <c r="AE67" s="129"/>
      <c r="AF67" s="129"/>
      <c r="AG67" s="13"/>
    </row>
    <row r="68" spans="1:33">
      <c r="A68" s="13"/>
      <c r="W68" s="129"/>
      <c r="X68" s="129"/>
      <c r="Y68" s="129"/>
      <c r="Z68" s="129"/>
      <c r="AA68" s="129"/>
      <c r="AB68" s="129"/>
      <c r="AC68" s="129"/>
      <c r="AD68" s="129"/>
      <c r="AE68" s="129"/>
      <c r="AF68" s="129"/>
      <c r="AG68" s="13"/>
    </row>
    <row r="69" spans="1:33">
      <c r="A69" s="13"/>
      <c r="W69" s="129"/>
      <c r="X69" s="129"/>
      <c r="Y69" s="129"/>
      <c r="Z69" s="129"/>
      <c r="AA69" s="129"/>
      <c r="AB69" s="129"/>
      <c r="AC69" s="129"/>
      <c r="AD69" s="129"/>
      <c r="AE69" s="129"/>
      <c r="AF69" s="129"/>
      <c r="AG69" s="13"/>
    </row>
    <row r="70" spans="1:33">
      <c r="A70" s="13"/>
      <c r="W70" s="129"/>
      <c r="X70" s="129"/>
      <c r="Y70" s="129"/>
      <c r="Z70" s="129"/>
      <c r="AA70" s="129"/>
      <c r="AB70" s="129"/>
      <c r="AC70" s="129"/>
      <c r="AD70" s="129"/>
      <c r="AE70" s="129"/>
      <c r="AF70" s="129"/>
      <c r="AG70" s="13"/>
    </row>
    <row r="71" spans="1:33">
      <c r="A71" s="13"/>
      <c r="W71" s="129"/>
      <c r="X71" s="129"/>
      <c r="Y71" s="129"/>
      <c r="Z71" s="129"/>
      <c r="AA71" s="129"/>
      <c r="AB71" s="129"/>
      <c r="AC71" s="129"/>
      <c r="AD71" s="129"/>
      <c r="AE71" s="129"/>
      <c r="AF71" s="129"/>
      <c r="AG71" s="13"/>
    </row>
    <row r="72" spans="1:33">
      <c r="A72" s="13"/>
      <c r="W72" s="129"/>
      <c r="X72" s="129"/>
      <c r="Y72" s="129"/>
      <c r="Z72" s="129"/>
      <c r="AA72" s="129"/>
      <c r="AB72" s="129"/>
      <c r="AC72" s="129"/>
      <c r="AD72" s="129"/>
      <c r="AE72" s="129"/>
      <c r="AF72" s="129"/>
      <c r="AG72" s="13"/>
    </row>
  </sheetData>
  <sheetProtection algorithmName="SHA-512" hashValue="rgG9sbEERdlKSrps72AVFc20Tfs5ff8TiuAoMRlcJryj9EzBlHGKIkdhS6VKwWJXTDjAvl6weooVHexrVLY2cw==" saltValue="HXC4++9uHY31Whp/ITKu6g==" spinCount="100000" sheet="1" objects="1" scenarios="1"/>
  <mergeCells count="73">
    <mergeCell ref="E52:F52"/>
    <mergeCell ref="E22:F22"/>
    <mergeCell ref="E24:F24"/>
    <mergeCell ref="E25:F25"/>
    <mergeCell ref="E26:F26"/>
    <mergeCell ref="E34:F34"/>
    <mergeCell ref="E35:F35"/>
    <mergeCell ref="E46:F46"/>
    <mergeCell ref="E48:F48"/>
    <mergeCell ref="E28:F28"/>
    <mergeCell ref="E30:F30"/>
    <mergeCell ref="E31:F31"/>
    <mergeCell ref="E33:F33"/>
    <mergeCell ref="E44:F44"/>
    <mergeCell ref="E45:F45"/>
    <mergeCell ref="E47:F47"/>
    <mergeCell ref="B43:D43"/>
    <mergeCell ref="B44:D44"/>
    <mergeCell ref="B45:D45"/>
    <mergeCell ref="B34:D34"/>
    <mergeCell ref="B35:D35"/>
    <mergeCell ref="B36:D36"/>
    <mergeCell ref="B37:D37"/>
    <mergeCell ref="B38:D38"/>
    <mergeCell ref="B39:D39"/>
    <mergeCell ref="B41:D41"/>
    <mergeCell ref="B47:D47"/>
    <mergeCell ref="B48:D48"/>
    <mergeCell ref="B46:D46"/>
    <mergeCell ref="B52:D52"/>
    <mergeCell ref="B53:D53"/>
    <mergeCell ref="B42:D42"/>
    <mergeCell ref="B28:D28"/>
    <mergeCell ref="B29:D29"/>
    <mergeCell ref="B30:D30"/>
    <mergeCell ref="B31:D31"/>
    <mergeCell ref="B32:D32"/>
    <mergeCell ref="B33:D33"/>
    <mergeCell ref="E53:F53"/>
    <mergeCell ref="E55:F55"/>
    <mergeCell ref="E49:F49"/>
    <mergeCell ref="E50:F50"/>
    <mergeCell ref="E51:F51"/>
    <mergeCell ref="B51:D51"/>
    <mergeCell ref="B55:D55"/>
    <mergeCell ref="B54:D54"/>
    <mergeCell ref="B49:D49"/>
    <mergeCell ref="B50:D50"/>
    <mergeCell ref="B27:D27"/>
    <mergeCell ref="B17:D17"/>
    <mergeCell ref="B18:D18"/>
    <mergeCell ref="B19:D19"/>
    <mergeCell ref="B20:D20"/>
    <mergeCell ref="B22:D22"/>
    <mergeCell ref="B23:D23"/>
    <mergeCell ref="B24:D24"/>
    <mergeCell ref="B12:C12"/>
    <mergeCell ref="B13:C13"/>
    <mergeCell ref="B25:D25"/>
    <mergeCell ref="B26:D26"/>
    <mergeCell ref="E20:F20"/>
    <mergeCell ref="E21:F21"/>
    <mergeCell ref="B21:D21"/>
    <mergeCell ref="B16:D16"/>
    <mergeCell ref="B15:D15"/>
    <mergeCell ref="B10:C10"/>
    <mergeCell ref="B11:C11"/>
    <mergeCell ref="I2:L2"/>
    <mergeCell ref="N2:Q2"/>
    <mergeCell ref="I4:L4"/>
    <mergeCell ref="I6:L6"/>
    <mergeCell ref="N4:Q4"/>
    <mergeCell ref="N6:Q6"/>
  </mergeCells>
  <phoneticPr fontId="6" type="noConversion"/>
  <hyperlinks>
    <hyperlink ref="I4:L4" location="'Formule nutritive'!A5" display="Recipe database"/>
    <hyperlink ref="I6:L6" location="Stampa!B1" display="Print  nutrient solution"/>
    <hyperlink ref="N4:Q4" location="Calcolo!F11" display="Calculation sheet"/>
    <hyperlink ref="I2:L2" location="Istruzioni!A1" display="Quick start guide"/>
    <hyperlink ref="N6:Q6" location="Parametri!A1" display="Inputs"/>
    <hyperlink ref="N2:Q2" location="Convertitore!B9" display="Unit converter  ppm&gt; mM"/>
  </hyperlinks>
  <pageMargins left="0.75" right="0.75" top="1" bottom="1" header="0.5" footer="0.5"/>
  <pageSetup paperSize="9" orientation="portrait" horizontalDpi="4294967293" verticalDpi="300" r:id="rId1"/>
  <headerFooter alignWithMargins="0"/>
  <drawing r:id="rId2"/>
  <legacyDrawing r:id="rId3"/>
  <oleObjects>
    <mc:AlternateContent xmlns:mc="http://schemas.openxmlformats.org/markup-compatibility/2006">
      <mc:Choice Requires="x14">
        <oleObject progId="PBrush" shapeId="7190" r:id="rId4">
          <objectPr defaultSize="0" autoPict="0" r:id="rId5">
            <anchor moveWithCells="1">
              <from>
                <xdr:col>0</xdr:col>
                <xdr:colOff>63500</xdr:colOff>
                <xdr:row>0</xdr:row>
                <xdr:rowOff>69850</xdr:rowOff>
              </from>
              <to>
                <xdr:col>1</xdr:col>
                <xdr:colOff>374650</xdr:colOff>
                <xdr:row>1</xdr:row>
                <xdr:rowOff>209550</xdr:rowOff>
              </to>
            </anchor>
          </objectPr>
        </oleObject>
      </mc:Choice>
      <mc:Fallback>
        <oleObject progId="PBrush" shapeId="719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2">
    <pageSetUpPr fitToPage="1"/>
  </sheetPr>
  <dimension ref="A1:BS77"/>
  <sheetViews>
    <sheetView showRowColHeaders="0" zoomScaleNormal="100" workbookViewId="0">
      <pane ySplit="8" topLeftCell="A9" activePane="bottomLeft" state="frozen"/>
      <selection pane="bottomLeft" sqref="A1:U1"/>
    </sheetView>
  </sheetViews>
  <sheetFormatPr defaultColWidth="9" defaultRowHeight="17.5"/>
  <cols>
    <col min="1" max="2" width="16" style="16" customWidth="1"/>
    <col min="3" max="3" width="8.33203125" style="16" customWidth="1"/>
    <col min="4" max="4" width="6.83203125" style="16" customWidth="1"/>
    <col min="5" max="5" width="6.75" style="16" customWidth="1"/>
    <col min="6" max="6" width="5.75" style="16" customWidth="1"/>
    <col min="7" max="10" width="5.25" style="16" customWidth="1"/>
    <col min="11" max="11" width="6.33203125" style="16" customWidth="1"/>
    <col min="12" max="12" width="5.25" style="16" customWidth="1"/>
    <col min="13" max="13" width="6" style="16" customWidth="1"/>
    <col min="14" max="14" width="5.75" style="16" customWidth="1"/>
    <col min="15" max="18" width="5.25" style="16" customWidth="1"/>
    <col min="19" max="19" width="15.25" style="13" customWidth="1"/>
    <col min="20" max="20" width="7" style="13" customWidth="1"/>
    <col min="21" max="21" width="4.5" style="13" customWidth="1"/>
    <col min="22" max="23" width="9.5" style="16" customWidth="1"/>
    <col min="24" max="25" width="9" style="16"/>
    <col min="26" max="26" width="37" style="214" hidden="1" customWidth="1"/>
    <col min="27" max="27" width="0" style="16" hidden="1" customWidth="1"/>
    <col min="28" max="52" width="9" style="16"/>
    <col min="53" max="53" width="51.5" style="16" hidden="1" customWidth="1"/>
    <col min="54" max="54" width="12.33203125" style="16" hidden="1" customWidth="1"/>
    <col min="55" max="69" width="0" style="16" hidden="1" customWidth="1"/>
    <col min="70" max="16384" width="9" style="16"/>
  </cols>
  <sheetData>
    <row r="1" spans="1:71" ht="30.75" customHeight="1">
      <c r="A1" s="13"/>
      <c r="B1" s="309" t="s">
        <v>181</v>
      </c>
      <c r="C1" s="13"/>
      <c r="D1" s="13"/>
      <c r="E1" s="13"/>
      <c r="F1" s="13"/>
      <c r="G1" s="95"/>
      <c r="H1" s="95"/>
      <c r="I1" s="95"/>
      <c r="J1" s="95"/>
      <c r="K1" s="95"/>
      <c r="L1" s="95"/>
      <c r="M1" s="95"/>
      <c r="N1" s="95"/>
      <c r="O1" s="95"/>
      <c r="P1" s="95"/>
      <c r="Q1" s="95"/>
      <c r="R1" s="13"/>
      <c r="V1" s="13"/>
      <c r="W1" s="13"/>
      <c r="X1" s="13"/>
      <c r="Y1" s="13"/>
      <c r="Z1" s="212"/>
      <c r="AA1" s="13"/>
      <c r="AB1" s="13"/>
      <c r="AC1" s="13"/>
      <c r="AD1" s="13"/>
      <c r="AE1" s="13"/>
      <c r="AF1" s="13"/>
      <c r="AG1" s="13"/>
      <c r="AH1" s="13"/>
      <c r="AI1" s="13"/>
      <c r="AJ1" s="13"/>
      <c r="AK1" s="13"/>
      <c r="AL1" s="13"/>
      <c r="AM1" s="13"/>
      <c r="AN1" s="13"/>
      <c r="AO1" s="13"/>
      <c r="AP1" s="13"/>
      <c r="AQ1" s="13"/>
    </row>
    <row r="2" spans="1:71" ht="22" customHeight="1">
      <c r="A2" s="13"/>
      <c r="B2" s="13"/>
      <c r="C2" s="13"/>
      <c r="D2" s="13"/>
      <c r="E2" s="13"/>
      <c r="F2" s="13"/>
      <c r="G2" s="14"/>
      <c r="H2" s="466" t="s">
        <v>73</v>
      </c>
      <c r="I2" s="467"/>
      <c r="J2" s="467"/>
      <c r="K2" s="468"/>
      <c r="L2" s="19"/>
      <c r="M2" s="522" t="s">
        <v>171</v>
      </c>
      <c r="N2" s="523"/>
      <c r="O2" s="523"/>
      <c r="P2" s="523"/>
      <c r="Q2" s="524"/>
      <c r="R2" s="13"/>
      <c r="V2" s="13"/>
      <c r="W2" s="13"/>
      <c r="X2" s="13"/>
      <c r="Y2" s="13"/>
      <c r="Z2" s="212"/>
      <c r="AA2" s="13"/>
      <c r="AB2" s="13"/>
      <c r="AC2" s="13"/>
      <c r="AD2" s="13"/>
      <c r="AE2" s="13"/>
      <c r="AF2" s="13"/>
      <c r="AG2" s="13"/>
      <c r="AH2" s="13"/>
      <c r="AI2" s="13"/>
      <c r="AJ2" s="13"/>
      <c r="AK2" s="13"/>
      <c r="AL2" s="13"/>
      <c r="AM2" s="13"/>
      <c r="AN2" s="13"/>
      <c r="AO2" s="13"/>
      <c r="AP2" s="13"/>
      <c r="AQ2" s="13"/>
    </row>
    <row r="3" spans="1:71">
      <c r="A3" s="13"/>
      <c r="B3" s="13"/>
      <c r="C3" s="13"/>
      <c r="D3" s="13"/>
      <c r="E3" s="13"/>
      <c r="F3" s="13"/>
      <c r="G3" s="14"/>
      <c r="H3" s="18"/>
      <c r="I3" s="18"/>
      <c r="J3" s="18"/>
      <c r="K3" s="18"/>
      <c r="L3" s="19"/>
      <c r="M3" s="18"/>
      <c r="N3" s="18"/>
      <c r="O3" s="18"/>
      <c r="P3" s="18"/>
      <c r="Q3" s="14"/>
      <c r="R3" s="13"/>
      <c r="V3" s="13"/>
      <c r="W3" s="13"/>
      <c r="X3" s="13"/>
      <c r="Y3" s="13"/>
      <c r="Z3" s="212"/>
      <c r="AA3" s="13"/>
      <c r="AB3" s="13"/>
      <c r="AC3" s="13"/>
      <c r="AD3" s="13"/>
      <c r="AE3" s="13"/>
      <c r="AF3" s="13"/>
      <c r="AG3" s="13"/>
      <c r="AH3" s="13"/>
      <c r="AI3" s="13"/>
      <c r="AJ3" s="13"/>
      <c r="AK3" s="13"/>
      <c r="AL3" s="13"/>
      <c r="AM3" s="13"/>
      <c r="AN3" s="13"/>
      <c r="AO3" s="13"/>
      <c r="AP3" s="13"/>
      <c r="AQ3" s="13"/>
    </row>
    <row r="4" spans="1:71" ht="22" customHeight="1">
      <c r="A4" s="13"/>
      <c r="C4" s="13"/>
      <c r="D4" s="13"/>
      <c r="E4" s="13"/>
      <c r="F4" s="13"/>
      <c r="G4" s="14"/>
      <c r="H4" s="466" t="s">
        <v>184</v>
      </c>
      <c r="I4" s="467"/>
      <c r="J4" s="467"/>
      <c r="K4" s="468"/>
      <c r="L4" s="138"/>
      <c r="M4" s="522" t="s">
        <v>182</v>
      </c>
      <c r="N4" s="523"/>
      <c r="O4" s="523"/>
      <c r="P4" s="523"/>
      <c r="Q4" s="524"/>
      <c r="R4" s="13"/>
      <c r="V4" s="13"/>
      <c r="W4" s="13"/>
      <c r="X4" s="13"/>
      <c r="Y4" s="13"/>
      <c r="Z4" s="212"/>
      <c r="AA4" s="13"/>
      <c r="AB4" s="13"/>
      <c r="AC4" s="13"/>
      <c r="AD4" s="13"/>
      <c r="AE4" s="13"/>
      <c r="AF4" s="13"/>
      <c r="AG4" s="13"/>
      <c r="AH4" s="13"/>
      <c r="AI4" s="13"/>
      <c r="AJ4" s="13"/>
      <c r="AK4" s="13"/>
      <c r="AL4" s="13"/>
      <c r="AM4" s="13"/>
      <c r="AN4" s="13"/>
      <c r="AO4" s="13"/>
      <c r="AP4" s="13"/>
      <c r="AQ4" s="13"/>
    </row>
    <row r="5" spans="1:71" s="13" customFormat="1" ht="21.75" customHeight="1">
      <c r="G5" s="14"/>
      <c r="H5" s="18"/>
      <c r="I5" s="18"/>
      <c r="J5" s="18"/>
      <c r="K5" s="18"/>
      <c r="L5" s="19"/>
      <c r="M5" s="18"/>
      <c r="N5" s="18"/>
      <c r="O5" s="18"/>
      <c r="P5" s="18"/>
      <c r="Q5" s="14"/>
      <c r="Z5" s="212"/>
    </row>
    <row r="6" spans="1:71" s="13" customFormat="1" ht="22" customHeight="1">
      <c r="D6" s="213" t="s">
        <v>54</v>
      </c>
      <c r="G6" s="14"/>
      <c r="H6" s="466" t="s">
        <v>183</v>
      </c>
      <c r="I6" s="467"/>
      <c r="J6" s="467"/>
      <c r="K6" s="468"/>
      <c r="L6" s="19"/>
      <c r="M6" s="466" t="s">
        <v>185</v>
      </c>
      <c r="N6" s="467"/>
      <c r="O6" s="467"/>
      <c r="P6" s="467"/>
      <c r="Q6" s="468"/>
      <c r="Z6" s="212"/>
    </row>
    <row r="7" spans="1:71">
      <c r="A7" s="13"/>
      <c r="B7" s="13"/>
      <c r="C7" s="13"/>
      <c r="D7" s="13"/>
      <c r="E7" s="13"/>
      <c r="F7" s="13"/>
      <c r="G7" s="13"/>
      <c r="H7" s="13"/>
      <c r="I7" s="13"/>
      <c r="J7" s="13"/>
      <c r="K7" s="13"/>
      <c r="L7" s="13"/>
      <c r="M7" s="13"/>
      <c r="N7" s="13"/>
      <c r="O7" s="13"/>
      <c r="P7" s="13"/>
      <c r="Q7" s="13"/>
      <c r="R7" s="13"/>
      <c r="V7" s="13"/>
      <c r="W7" s="13"/>
      <c r="X7" s="13"/>
      <c r="Y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37.5" customHeight="1">
      <c r="A8" s="215" t="s">
        <v>117</v>
      </c>
      <c r="B8" s="215" t="s">
        <v>118</v>
      </c>
      <c r="C8" s="216" t="s">
        <v>217</v>
      </c>
      <c r="D8" s="217" t="s">
        <v>218</v>
      </c>
      <c r="E8" s="217" t="s">
        <v>219</v>
      </c>
      <c r="F8" s="217" t="s">
        <v>220</v>
      </c>
      <c r="G8" s="217" t="s">
        <v>7</v>
      </c>
      <c r="H8" s="217" t="s">
        <v>8</v>
      </c>
      <c r="I8" s="217" t="s">
        <v>9</v>
      </c>
      <c r="J8" s="217" t="s">
        <v>10</v>
      </c>
      <c r="K8" s="217" t="s">
        <v>221</v>
      </c>
      <c r="L8" s="217" t="s">
        <v>12</v>
      </c>
      <c r="M8" s="217" t="s">
        <v>13</v>
      </c>
      <c r="N8" s="217" t="s">
        <v>14</v>
      </c>
      <c r="O8" s="217" t="s">
        <v>15</v>
      </c>
      <c r="P8" s="217" t="s">
        <v>16</v>
      </c>
      <c r="Q8" s="217" t="s">
        <v>17</v>
      </c>
      <c r="R8" s="217" t="s">
        <v>18</v>
      </c>
      <c r="S8" s="519" t="s">
        <v>77</v>
      </c>
      <c r="T8" s="520"/>
      <c r="U8" s="521"/>
      <c r="V8" s="218"/>
      <c r="W8" s="218"/>
      <c r="X8" s="219" t="s">
        <v>222</v>
      </c>
      <c r="Y8" s="218"/>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220" t="s">
        <v>63</v>
      </c>
      <c r="BB8" s="221" t="s">
        <v>19</v>
      </c>
      <c r="BC8" s="221" t="s">
        <v>4</v>
      </c>
      <c r="BD8" s="221" t="s">
        <v>5</v>
      </c>
      <c r="BE8" s="221" t="s">
        <v>59</v>
      </c>
      <c r="BF8" s="221" t="s">
        <v>7</v>
      </c>
      <c r="BG8" s="221" t="s">
        <v>8</v>
      </c>
      <c r="BH8" s="221" t="s">
        <v>9</v>
      </c>
      <c r="BI8" s="221" t="s">
        <v>10</v>
      </c>
      <c r="BJ8" s="221" t="s">
        <v>11</v>
      </c>
      <c r="BK8" s="221" t="s">
        <v>12</v>
      </c>
      <c r="BL8" s="221" t="s">
        <v>13</v>
      </c>
      <c r="BM8" s="221" t="s">
        <v>14</v>
      </c>
      <c r="BN8" s="221" t="s">
        <v>15</v>
      </c>
      <c r="BO8" s="221" t="s">
        <v>16</v>
      </c>
      <c r="BP8" s="221" t="s">
        <v>17</v>
      </c>
      <c r="BQ8" s="221" t="s">
        <v>18</v>
      </c>
      <c r="BR8" s="13"/>
      <c r="BS8" s="13"/>
    </row>
    <row r="9" spans="1:71">
      <c r="A9" s="222" t="s">
        <v>127</v>
      </c>
      <c r="B9" s="222" t="s">
        <v>120</v>
      </c>
      <c r="C9" s="223">
        <f t="shared" ref="C9:C40" si="0">IF((G9+H9*2+I9*2+E9+J9)&gt;0,(0.095*(G9+H9*2+I9*2+E9+J9)+0.19),0)</f>
        <v>1.9570000000000001</v>
      </c>
      <c r="D9" s="224">
        <v>15</v>
      </c>
      <c r="E9" s="225">
        <v>1</v>
      </c>
      <c r="F9" s="224">
        <v>1.3</v>
      </c>
      <c r="G9" s="224">
        <v>7</v>
      </c>
      <c r="H9" s="224">
        <v>3.5</v>
      </c>
      <c r="I9" s="224">
        <v>1.8</v>
      </c>
      <c r="J9" s="224">
        <v>0</v>
      </c>
      <c r="K9" s="224">
        <v>1.5</v>
      </c>
      <c r="L9" s="225">
        <v>0</v>
      </c>
      <c r="M9" s="224">
        <v>15</v>
      </c>
      <c r="N9" s="224">
        <v>30</v>
      </c>
      <c r="O9" s="224">
        <v>1</v>
      </c>
      <c r="P9" s="224">
        <v>5</v>
      </c>
      <c r="Q9" s="224">
        <v>10</v>
      </c>
      <c r="R9" s="224">
        <v>1</v>
      </c>
      <c r="S9" s="226" t="str">
        <f>IF(X9&gt;1,"[Cations] &gt; [Anions]",IF(X9&lt;-1,"[Anions] &gt; [Cations]",""))</f>
        <v/>
      </c>
      <c r="T9" s="28"/>
      <c r="U9" s="227"/>
      <c r="V9" s="228"/>
      <c r="W9" s="228"/>
      <c r="X9" s="229">
        <f t="shared" ref="X9:X40" si="1">(E9+G9+H9*2+I9*2+J9)-(D9+F9+K9*2+L9)</f>
        <v>-0.69999999999999929</v>
      </c>
      <c r="Y9" s="218"/>
      <c r="Z9" s="214" t="str">
        <f t="shared" ref="Z9:Z40" si="2">A9&amp;": stadio "&amp;B9</f>
        <v>Aubergine: stadio Single</v>
      </c>
      <c r="AA9" s="16">
        <v>1</v>
      </c>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230" t="str">
        <f t="shared" ref="BA9:BA40" si="3">A9&amp;": Stage: "&amp;B9</f>
        <v>Aubergine: Stage: Single</v>
      </c>
      <c r="BB9" s="211">
        <f>C9</f>
        <v>1.9570000000000001</v>
      </c>
      <c r="BC9" s="211">
        <f t="shared" ref="BC9:BM9" si="4">D9</f>
        <v>15</v>
      </c>
      <c r="BD9" s="231">
        <f t="shared" si="4"/>
        <v>1</v>
      </c>
      <c r="BE9" s="231">
        <f t="shared" si="4"/>
        <v>1.3</v>
      </c>
      <c r="BF9" s="231">
        <f t="shared" si="4"/>
        <v>7</v>
      </c>
      <c r="BG9" s="231">
        <f t="shared" si="4"/>
        <v>3.5</v>
      </c>
      <c r="BH9" s="231">
        <f t="shared" si="4"/>
        <v>1.8</v>
      </c>
      <c r="BI9" s="231">
        <f t="shared" si="4"/>
        <v>0</v>
      </c>
      <c r="BJ9" s="231">
        <f t="shared" si="4"/>
        <v>1.5</v>
      </c>
      <c r="BK9" s="231">
        <f t="shared" si="4"/>
        <v>0</v>
      </c>
      <c r="BL9" s="211">
        <f t="shared" si="4"/>
        <v>15</v>
      </c>
      <c r="BM9" s="211">
        <f t="shared" si="4"/>
        <v>30</v>
      </c>
      <c r="BN9" s="211">
        <f>O9</f>
        <v>1</v>
      </c>
      <c r="BO9" s="211">
        <f>P9</f>
        <v>5</v>
      </c>
      <c r="BP9" s="211">
        <f>Q9</f>
        <v>10</v>
      </c>
      <c r="BQ9" s="211">
        <f>R9</f>
        <v>1</v>
      </c>
      <c r="BR9" s="211"/>
      <c r="BS9" s="211"/>
    </row>
    <row r="10" spans="1:71">
      <c r="A10" s="222" t="s">
        <v>124</v>
      </c>
      <c r="B10" s="222" t="s">
        <v>120</v>
      </c>
      <c r="C10" s="223">
        <f t="shared" si="0"/>
        <v>1.7004999999999999</v>
      </c>
      <c r="D10" s="224">
        <v>12</v>
      </c>
      <c r="E10" s="225">
        <v>1</v>
      </c>
      <c r="F10" s="225">
        <v>1.2</v>
      </c>
      <c r="G10" s="224">
        <v>5.5</v>
      </c>
      <c r="H10" s="224">
        <v>3.5</v>
      </c>
      <c r="I10" s="224">
        <v>1.2</v>
      </c>
      <c r="J10" s="224">
        <v>0</v>
      </c>
      <c r="K10" s="224">
        <v>1.2</v>
      </c>
      <c r="L10" s="224">
        <v>0</v>
      </c>
      <c r="M10" s="224">
        <v>15</v>
      </c>
      <c r="N10" s="224">
        <v>50</v>
      </c>
      <c r="O10" s="224">
        <v>1</v>
      </c>
      <c r="P10" s="224">
        <v>5</v>
      </c>
      <c r="Q10" s="224">
        <v>10</v>
      </c>
      <c r="R10" s="224">
        <v>2</v>
      </c>
      <c r="S10" s="226" t="str">
        <f>IF(X10&gt;1,"[Cations] &gt; [Anions]",IF(X10&lt;-1,"[Anions] &gt; [Cations]",""))</f>
        <v/>
      </c>
      <c r="T10" s="28"/>
      <c r="U10" s="227"/>
      <c r="V10" s="218"/>
      <c r="W10" s="218"/>
      <c r="X10" s="229">
        <f t="shared" si="1"/>
        <v>0.30000000000000071</v>
      </c>
      <c r="Y10" s="218"/>
      <c r="Z10" s="214" t="str">
        <f t="shared" si="2"/>
        <v>Bean: stadio Single</v>
      </c>
      <c r="AA10" s="16">
        <v>2</v>
      </c>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230" t="str">
        <f t="shared" si="3"/>
        <v>Bean: Stage: Single</v>
      </c>
      <c r="BB10" s="211">
        <f t="shared" ref="BB10:BB58" si="5">C10</f>
        <v>1.7004999999999999</v>
      </c>
      <c r="BC10" s="211">
        <f t="shared" ref="BC10:BC58" si="6">D10</f>
        <v>12</v>
      </c>
      <c r="BD10" s="231">
        <f t="shared" ref="BD10:BD58" si="7">E10</f>
        <v>1</v>
      </c>
      <c r="BE10" s="231">
        <f t="shared" ref="BE10:BE58" si="8">F10</f>
        <v>1.2</v>
      </c>
      <c r="BF10" s="231">
        <f t="shared" ref="BF10:BF58" si="9">G10</f>
        <v>5.5</v>
      </c>
      <c r="BG10" s="231">
        <f t="shared" ref="BG10:BG58" si="10">H10</f>
        <v>3.5</v>
      </c>
      <c r="BH10" s="231">
        <f t="shared" ref="BH10:BH58" si="11">I10</f>
        <v>1.2</v>
      </c>
      <c r="BI10" s="231">
        <f t="shared" ref="BI10:BI58" si="12">J10</f>
        <v>0</v>
      </c>
      <c r="BJ10" s="231">
        <f t="shared" ref="BJ10:BJ58" si="13">K10</f>
        <v>1.2</v>
      </c>
      <c r="BK10" s="231">
        <f t="shared" ref="BK10:BK58" si="14">L10</f>
        <v>0</v>
      </c>
      <c r="BL10" s="211">
        <f t="shared" ref="BL10:BL58" si="15">M10</f>
        <v>15</v>
      </c>
      <c r="BM10" s="211">
        <f t="shared" ref="BM10:BM58" si="16">N10</f>
        <v>50</v>
      </c>
      <c r="BN10" s="211">
        <f t="shared" ref="BN10:BN58" si="17">O10</f>
        <v>1</v>
      </c>
      <c r="BO10" s="211">
        <f t="shared" ref="BO10:BO58" si="18">P10</f>
        <v>5</v>
      </c>
      <c r="BP10" s="211">
        <f t="shared" ref="BP10:BP58" si="19">Q10</f>
        <v>10</v>
      </c>
      <c r="BQ10" s="211">
        <f t="shared" ref="BQ10:BQ58" si="20">R10</f>
        <v>2</v>
      </c>
      <c r="BR10" s="13"/>
      <c r="BS10" s="13"/>
    </row>
    <row r="11" spans="1:71">
      <c r="A11" s="222" t="s">
        <v>126</v>
      </c>
      <c r="B11" s="222" t="s">
        <v>120</v>
      </c>
      <c r="C11" s="223">
        <f t="shared" si="0"/>
        <v>1.7479999999999998</v>
      </c>
      <c r="D11" s="224">
        <v>13</v>
      </c>
      <c r="E11" s="225">
        <v>1</v>
      </c>
      <c r="F11" s="225">
        <v>1.3</v>
      </c>
      <c r="G11" s="224">
        <v>6</v>
      </c>
      <c r="H11" s="224">
        <v>3.5</v>
      </c>
      <c r="I11" s="224">
        <v>1.2</v>
      </c>
      <c r="J11" s="224">
        <v>0</v>
      </c>
      <c r="K11" s="224">
        <v>1.5</v>
      </c>
      <c r="L11" s="224">
        <v>0</v>
      </c>
      <c r="M11" s="224">
        <v>25</v>
      </c>
      <c r="N11" s="224">
        <v>30</v>
      </c>
      <c r="O11" s="224">
        <v>1</v>
      </c>
      <c r="P11" s="224">
        <v>5</v>
      </c>
      <c r="Q11" s="224">
        <v>10</v>
      </c>
      <c r="R11" s="224">
        <v>1</v>
      </c>
      <c r="S11" s="226" t="str">
        <f>IF(X11&gt;1,"[Cations] &gt; [Anions]",IF(X11&lt;-1,"[Anions] &gt; [Cations]",""))</f>
        <v/>
      </c>
      <c r="T11" s="28"/>
      <c r="U11" s="227"/>
      <c r="V11" s="228"/>
      <c r="W11" s="228"/>
      <c r="X11" s="229">
        <f t="shared" si="1"/>
        <v>-0.90000000000000213</v>
      </c>
      <c r="Y11" s="218"/>
      <c r="Z11" s="214" t="str">
        <f t="shared" si="2"/>
        <v>Carnation: stadio Single</v>
      </c>
      <c r="AA11" s="16">
        <v>3</v>
      </c>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230" t="str">
        <f t="shared" si="3"/>
        <v>Carnation: Stage: Single</v>
      </c>
      <c r="BB11" s="211">
        <f t="shared" si="5"/>
        <v>1.7479999999999998</v>
      </c>
      <c r="BC11" s="211">
        <f t="shared" si="6"/>
        <v>13</v>
      </c>
      <c r="BD11" s="231">
        <f t="shared" si="7"/>
        <v>1</v>
      </c>
      <c r="BE11" s="231">
        <f t="shared" si="8"/>
        <v>1.3</v>
      </c>
      <c r="BF11" s="231">
        <f t="shared" si="9"/>
        <v>6</v>
      </c>
      <c r="BG11" s="231">
        <f t="shared" si="10"/>
        <v>3.5</v>
      </c>
      <c r="BH11" s="231">
        <f t="shared" si="11"/>
        <v>1.2</v>
      </c>
      <c r="BI11" s="231">
        <f t="shared" si="12"/>
        <v>0</v>
      </c>
      <c r="BJ11" s="231">
        <f t="shared" si="13"/>
        <v>1.5</v>
      </c>
      <c r="BK11" s="231">
        <f t="shared" si="14"/>
        <v>0</v>
      </c>
      <c r="BL11" s="211">
        <f t="shared" si="15"/>
        <v>25</v>
      </c>
      <c r="BM11" s="211">
        <f t="shared" si="16"/>
        <v>30</v>
      </c>
      <c r="BN11" s="211">
        <f t="shared" si="17"/>
        <v>1</v>
      </c>
      <c r="BO11" s="211">
        <f t="shared" si="18"/>
        <v>5</v>
      </c>
      <c r="BP11" s="211">
        <f t="shared" si="19"/>
        <v>10</v>
      </c>
      <c r="BQ11" s="211">
        <f t="shared" si="20"/>
        <v>1</v>
      </c>
      <c r="BR11" s="13"/>
      <c r="BS11" s="13"/>
    </row>
    <row r="12" spans="1:71">
      <c r="A12" s="222" t="s">
        <v>119</v>
      </c>
      <c r="B12" s="222" t="s">
        <v>120</v>
      </c>
      <c r="C12" s="223">
        <f t="shared" si="0"/>
        <v>1.9949999999999999</v>
      </c>
      <c r="D12" s="224">
        <v>15</v>
      </c>
      <c r="E12" s="225">
        <v>1</v>
      </c>
      <c r="F12" s="225">
        <v>1.2</v>
      </c>
      <c r="G12" s="224">
        <v>7</v>
      </c>
      <c r="H12" s="224">
        <v>4</v>
      </c>
      <c r="I12" s="224">
        <v>1.5</v>
      </c>
      <c r="J12" s="224">
        <v>0</v>
      </c>
      <c r="K12" s="224">
        <v>1.6</v>
      </c>
      <c r="L12" s="225">
        <v>0</v>
      </c>
      <c r="M12" s="224">
        <v>15</v>
      </c>
      <c r="N12" s="224">
        <v>30</v>
      </c>
      <c r="O12" s="224">
        <v>1</v>
      </c>
      <c r="P12" s="224">
        <v>5</v>
      </c>
      <c r="Q12" s="224">
        <v>10</v>
      </c>
      <c r="R12" s="224">
        <v>1</v>
      </c>
      <c r="S12" s="226" t="str">
        <f>IF(X12&gt;1,"[Cations] &gt; [Anions]",IF(X12&lt;-1,"[Anions] &gt; [Cations]",""))</f>
        <v/>
      </c>
      <c r="T12" s="28"/>
      <c r="U12" s="227"/>
      <c r="V12" s="228"/>
      <c r="W12" s="228"/>
      <c r="X12" s="229">
        <f t="shared" si="1"/>
        <v>-0.39999999999999858</v>
      </c>
      <c r="Y12" s="218"/>
      <c r="Z12" s="214" t="str">
        <f t="shared" si="2"/>
        <v>Cucumber: stadio Single</v>
      </c>
      <c r="AA12" s="16">
        <v>4</v>
      </c>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230" t="str">
        <f t="shared" si="3"/>
        <v>Cucumber: Stage: Single</v>
      </c>
      <c r="BB12" s="211">
        <f t="shared" si="5"/>
        <v>1.9949999999999999</v>
      </c>
      <c r="BC12" s="211">
        <f t="shared" si="6"/>
        <v>15</v>
      </c>
      <c r="BD12" s="231">
        <f t="shared" si="7"/>
        <v>1</v>
      </c>
      <c r="BE12" s="231">
        <f t="shared" si="8"/>
        <v>1.2</v>
      </c>
      <c r="BF12" s="231">
        <f t="shared" si="9"/>
        <v>7</v>
      </c>
      <c r="BG12" s="231">
        <f t="shared" si="10"/>
        <v>4</v>
      </c>
      <c r="BH12" s="231">
        <f t="shared" si="11"/>
        <v>1.5</v>
      </c>
      <c r="BI12" s="231">
        <f t="shared" si="12"/>
        <v>0</v>
      </c>
      <c r="BJ12" s="231">
        <f t="shared" si="13"/>
        <v>1.6</v>
      </c>
      <c r="BK12" s="231">
        <f t="shared" si="14"/>
        <v>0</v>
      </c>
      <c r="BL12" s="211">
        <f t="shared" si="15"/>
        <v>15</v>
      </c>
      <c r="BM12" s="211">
        <f t="shared" si="16"/>
        <v>30</v>
      </c>
      <c r="BN12" s="211">
        <f t="shared" si="17"/>
        <v>1</v>
      </c>
      <c r="BO12" s="211">
        <f t="shared" si="18"/>
        <v>5</v>
      </c>
      <c r="BP12" s="211">
        <f t="shared" si="19"/>
        <v>10</v>
      </c>
      <c r="BQ12" s="211">
        <f t="shared" si="20"/>
        <v>1</v>
      </c>
      <c r="BR12" s="13"/>
      <c r="BS12" s="13"/>
    </row>
    <row r="13" spans="1:71">
      <c r="A13" s="222" t="s">
        <v>130</v>
      </c>
      <c r="B13" s="222" t="s">
        <v>120</v>
      </c>
      <c r="C13" s="223">
        <f t="shared" si="0"/>
        <v>2.0425</v>
      </c>
      <c r="D13" s="224">
        <v>15</v>
      </c>
      <c r="E13" s="224">
        <v>1</v>
      </c>
      <c r="F13" s="225">
        <v>1.3</v>
      </c>
      <c r="G13" s="224">
        <v>7.5</v>
      </c>
      <c r="H13" s="224">
        <v>4</v>
      </c>
      <c r="I13" s="224">
        <v>1.5</v>
      </c>
      <c r="J13" s="224">
        <v>0</v>
      </c>
      <c r="K13" s="224">
        <v>2</v>
      </c>
      <c r="L13" s="225">
        <v>0</v>
      </c>
      <c r="M13" s="224">
        <v>15</v>
      </c>
      <c r="N13" s="224">
        <v>30</v>
      </c>
      <c r="O13" s="224">
        <v>1</v>
      </c>
      <c r="P13" s="224">
        <v>5</v>
      </c>
      <c r="Q13" s="224">
        <v>10</v>
      </c>
      <c r="R13" s="224">
        <v>1</v>
      </c>
      <c r="S13" s="226" t="str">
        <f t="shared" ref="S13:S58" si="21">IF(X13&gt;1,"[Cations] &gt; [Anions]",IF(X13&lt;-1,"[Anions] &gt; [Cations]",""))</f>
        <v/>
      </c>
      <c r="T13" s="28"/>
      <c r="U13" s="227"/>
      <c r="V13" s="228"/>
      <c r="W13" s="228"/>
      <c r="X13" s="229">
        <f t="shared" si="1"/>
        <v>-0.80000000000000071</v>
      </c>
      <c r="Y13" s="218"/>
      <c r="Z13" s="214" t="str">
        <f t="shared" si="2"/>
        <v>Fruit vegetable: stadio Single</v>
      </c>
      <c r="AA13" s="16">
        <v>5</v>
      </c>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230" t="str">
        <f t="shared" si="3"/>
        <v>Fruit vegetable: Stage: Single</v>
      </c>
      <c r="BB13" s="211">
        <f t="shared" si="5"/>
        <v>2.0425</v>
      </c>
      <c r="BC13" s="211">
        <f t="shared" si="6"/>
        <v>15</v>
      </c>
      <c r="BD13" s="231">
        <f t="shared" si="7"/>
        <v>1</v>
      </c>
      <c r="BE13" s="231">
        <f t="shared" si="8"/>
        <v>1.3</v>
      </c>
      <c r="BF13" s="231">
        <f t="shared" si="9"/>
        <v>7.5</v>
      </c>
      <c r="BG13" s="231">
        <f t="shared" si="10"/>
        <v>4</v>
      </c>
      <c r="BH13" s="231">
        <f t="shared" si="11"/>
        <v>1.5</v>
      </c>
      <c r="BI13" s="231">
        <f t="shared" si="12"/>
        <v>0</v>
      </c>
      <c r="BJ13" s="231">
        <f t="shared" si="13"/>
        <v>2</v>
      </c>
      <c r="BK13" s="231">
        <f t="shared" si="14"/>
        <v>0</v>
      </c>
      <c r="BL13" s="211">
        <f t="shared" si="15"/>
        <v>15</v>
      </c>
      <c r="BM13" s="211">
        <f t="shared" si="16"/>
        <v>30</v>
      </c>
      <c r="BN13" s="211">
        <f t="shared" si="17"/>
        <v>1</v>
      </c>
      <c r="BO13" s="211">
        <f t="shared" si="18"/>
        <v>5</v>
      </c>
      <c r="BP13" s="211">
        <f t="shared" si="19"/>
        <v>10</v>
      </c>
      <c r="BQ13" s="211">
        <f t="shared" si="20"/>
        <v>1</v>
      </c>
      <c r="BR13" s="13"/>
      <c r="BS13" s="13"/>
    </row>
    <row r="14" spans="1:71">
      <c r="A14" s="222" t="s">
        <v>47</v>
      </c>
      <c r="B14" s="222" t="s">
        <v>120</v>
      </c>
      <c r="C14" s="223">
        <f t="shared" si="0"/>
        <v>1.52</v>
      </c>
      <c r="D14" s="224">
        <v>11</v>
      </c>
      <c r="E14" s="225">
        <v>1</v>
      </c>
      <c r="F14" s="225">
        <v>1.3</v>
      </c>
      <c r="G14" s="224">
        <v>5</v>
      </c>
      <c r="H14" s="224">
        <v>3</v>
      </c>
      <c r="I14" s="224">
        <v>1</v>
      </c>
      <c r="J14" s="224">
        <v>0</v>
      </c>
      <c r="K14" s="224">
        <v>1.2</v>
      </c>
      <c r="L14" s="224">
        <v>0</v>
      </c>
      <c r="M14" s="224">
        <v>35</v>
      </c>
      <c r="N14" s="224">
        <v>30</v>
      </c>
      <c r="O14" s="224">
        <v>1</v>
      </c>
      <c r="P14" s="224">
        <v>5</v>
      </c>
      <c r="Q14" s="224">
        <v>5</v>
      </c>
      <c r="R14" s="224">
        <v>1</v>
      </c>
      <c r="S14" s="226" t="str">
        <f t="shared" si="21"/>
        <v/>
      </c>
      <c r="T14" s="28"/>
      <c r="U14" s="227"/>
      <c r="V14" s="228"/>
      <c r="W14" s="228"/>
      <c r="X14" s="229">
        <f t="shared" si="1"/>
        <v>-0.70000000000000107</v>
      </c>
      <c r="Y14" s="218"/>
      <c r="Z14" s="214" t="str">
        <f t="shared" si="2"/>
        <v>Gerbera: stadio Single</v>
      </c>
      <c r="AA14" s="16">
        <v>6</v>
      </c>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230" t="str">
        <f t="shared" si="3"/>
        <v>Gerbera: Stage: Single</v>
      </c>
      <c r="BB14" s="211">
        <f t="shared" si="5"/>
        <v>1.52</v>
      </c>
      <c r="BC14" s="211">
        <f t="shared" si="6"/>
        <v>11</v>
      </c>
      <c r="BD14" s="231">
        <f t="shared" si="7"/>
        <v>1</v>
      </c>
      <c r="BE14" s="231">
        <f t="shared" si="8"/>
        <v>1.3</v>
      </c>
      <c r="BF14" s="231">
        <f t="shared" si="9"/>
        <v>5</v>
      </c>
      <c r="BG14" s="231">
        <f t="shared" si="10"/>
        <v>3</v>
      </c>
      <c r="BH14" s="231">
        <f t="shared" si="11"/>
        <v>1</v>
      </c>
      <c r="BI14" s="231">
        <f t="shared" si="12"/>
        <v>0</v>
      </c>
      <c r="BJ14" s="231">
        <f t="shared" si="13"/>
        <v>1.2</v>
      </c>
      <c r="BK14" s="231">
        <f t="shared" si="14"/>
        <v>0</v>
      </c>
      <c r="BL14" s="211">
        <f t="shared" si="15"/>
        <v>35</v>
      </c>
      <c r="BM14" s="211">
        <f t="shared" si="16"/>
        <v>30</v>
      </c>
      <c r="BN14" s="211">
        <f t="shared" si="17"/>
        <v>1</v>
      </c>
      <c r="BO14" s="211">
        <f t="shared" si="18"/>
        <v>5</v>
      </c>
      <c r="BP14" s="211">
        <f t="shared" si="19"/>
        <v>5</v>
      </c>
      <c r="BQ14" s="211">
        <f t="shared" si="20"/>
        <v>1</v>
      </c>
      <c r="BR14" s="13"/>
      <c r="BS14" s="13"/>
    </row>
    <row r="15" spans="1:71">
      <c r="A15" s="222" t="s">
        <v>60</v>
      </c>
      <c r="B15" s="222" t="s">
        <v>121</v>
      </c>
      <c r="C15" s="223">
        <f t="shared" si="0"/>
        <v>1.9949999999999999</v>
      </c>
      <c r="D15" s="224">
        <v>14</v>
      </c>
      <c r="E15" s="225">
        <v>1</v>
      </c>
      <c r="F15" s="225">
        <v>1</v>
      </c>
      <c r="G15" s="224">
        <v>6</v>
      </c>
      <c r="H15" s="224">
        <v>4</v>
      </c>
      <c r="I15" s="224">
        <v>2</v>
      </c>
      <c r="J15" s="224">
        <v>0</v>
      </c>
      <c r="K15" s="224">
        <v>2</v>
      </c>
      <c r="L15" s="224">
        <v>0</v>
      </c>
      <c r="M15" s="224">
        <v>45</v>
      </c>
      <c r="N15" s="224">
        <v>45</v>
      </c>
      <c r="O15" s="224">
        <v>1</v>
      </c>
      <c r="P15" s="224">
        <v>1</v>
      </c>
      <c r="Q15" s="224">
        <v>10</v>
      </c>
      <c r="R15" s="224">
        <v>1</v>
      </c>
      <c r="S15" s="226" t="str">
        <f t="shared" si="21"/>
        <v/>
      </c>
      <c r="T15" s="28"/>
      <c r="U15" s="227"/>
      <c r="V15" s="218"/>
      <c r="W15" s="218"/>
      <c r="X15" s="229">
        <f t="shared" si="1"/>
        <v>0</v>
      </c>
      <c r="Y15" s="218"/>
      <c r="Z15" s="214" t="str">
        <f t="shared" si="2"/>
        <v>Hoagland &amp; Arnon: stadio Universal (1938)</v>
      </c>
      <c r="AA15" s="16">
        <v>7</v>
      </c>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230" t="str">
        <f t="shared" si="3"/>
        <v>Hoagland &amp; Arnon: Stage: Universal (1938)</v>
      </c>
      <c r="BB15" s="211">
        <f t="shared" si="5"/>
        <v>1.9949999999999999</v>
      </c>
      <c r="BC15" s="211">
        <f t="shared" si="6"/>
        <v>14</v>
      </c>
      <c r="BD15" s="231">
        <f t="shared" si="7"/>
        <v>1</v>
      </c>
      <c r="BE15" s="231">
        <f t="shared" si="8"/>
        <v>1</v>
      </c>
      <c r="BF15" s="231">
        <f t="shared" si="9"/>
        <v>6</v>
      </c>
      <c r="BG15" s="231">
        <f t="shared" si="10"/>
        <v>4</v>
      </c>
      <c r="BH15" s="231">
        <f t="shared" si="11"/>
        <v>2</v>
      </c>
      <c r="BI15" s="231">
        <f t="shared" si="12"/>
        <v>0</v>
      </c>
      <c r="BJ15" s="231">
        <f t="shared" si="13"/>
        <v>2</v>
      </c>
      <c r="BK15" s="231">
        <f t="shared" si="14"/>
        <v>0</v>
      </c>
      <c r="BL15" s="211">
        <f t="shared" si="15"/>
        <v>45</v>
      </c>
      <c r="BM15" s="211">
        <f t="shared" si="16"/>
        <v>45</v>
      </c>
      <c r="BN15" s="211">
        <f t="shared" si="17"/>
        <v>1</v>
      </c>
      <c r="BO15" s="211">
        <f t="shared" si="18"/>
        <v>1</v>
      </c>
      <c r="BP15" s="211">
        <f t="shared" si="19"/>
        <v>10</v>
      </c>
      <c r="BQ15" s="211">
        <f t="shared" si="20"/>
        <v>1</v>
      </c>
      <c r="BR15" s="13"/>
      <c r="BS15" s="13"/>
    </row>
    <row r="16" spans="1:71">
      <c r="A16" s="222" t="s">
        <v>131</v>
      </c>
      <c r="B16" s="222" t="s">
        <v>120</v>
      </c>
      <c r="C16" s="223">
        <f t="shared" si="0"/>
        <v>3.3580434782608699</v>
      </c>
      <c r="D16" s="224">
        <v>15</v>
      </c>
      <c r="E16" s="224">
        <v>3</v>
      </c>
      <c r="F16" s="225">
        <v>2.5</v>
      </c>
      <c r="G16" s="224">
        <v>11</v>
      </c>
      <c r="H16" s="224">
        <v>4.5</v>
      </c>
      <c r="I16" s="224">
        <v>3</v>
      </c>
      <c r="J16" s="224">
        <v>4.3478260869565215</v>
      </c>
      <c r="K16" s="224">
        <v>6</v>
      </c>
      <c r="L16" s="224">
        <v>4</v>
      </c>
      <c r="M16" s="224">
        <v>40</v>
      </c>
      <c r="N16" s="224">
        <v>40</v>
      </c>
      <c r="O16" s="224">
        <v>1</v>
      </c>
      <c r="P16" s="224">
        <v>5</v>
      </c>
      <c r="Q16" s="224">
        <v>10</v>
      </c>
      <c r="R16" s="224">
        <v>1</v>
      </c>
      <c r="S16" s="226" t="str">
        <f t="shared" si="21"/>
        <v/>
      </c>
      <c r="T16" s="28"/>
      <c r="U16" s="227"/>
      <c r="V16" s="218"/>
      <c r="W16" s="218"/>
      <c r="X16" s="229">
        <f t="shared" si="1"/>
        <v>-0.15217391304347672</v>
      </c>
      <c r="Y16" s="218"/>
      <c r="Z16" s="214" t="str">
        <f t="shared" si="2"/>
        <v>Leafy cut vegetable: stadio Single</v>
      </c>
      <c r="AA16" s="16">
        <v>8</v>
      </c>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230" t="str">
        <f t="shared" si="3"/>
        <v>Leafy cut vegetable: Stage: Single</v>
      </c>
      <c r="BB16" s="211">
        <f t="shared" si="5"/>
        <v>3.3580434782608699</v>
      </c>
      <c r="BC16" s="211">
        <f t="shared" si="6"/>
        <v>15</v>
      </c>
      <c r="BD16" s="231">
        <f t="shared" si="7"/>
        <v>3</v>
      </c>
      <c r="BE16" s="231">
        <f t="shared" si="8"/>
        <v>2.5</v>
      </c>
      <c r="BF16" s="231">
        <f t="shared" si="9"/>
        <v>11</v>
      </c>
      <c r="BG16" s="231">
        <f t="shared" si="10"/>
        <v>4.5</v>
      </c>
      <c r="BH16" s="231">
        <f t="shared" si="11"/>
        <v>3</v>
      </c>
      <c r="BI16" s="231">
        <f t="shared" si="12"/>
        <v>4.3478260869565215</v>
      </c>
      <c r="BJ16" s="231">
        <f t="shared" si="13"/>
        <v>6</v>
      </c>
      <c r="BK16" s="231">
        <f t="shared" si="14"/>
        <v>4</v>
      </c>
      <c r="BL16" s="211">
        <f t="shared" si="15"/>
        <v>40</v>
      </c>
      <c r="BM16" s="211">
        <f t="shared" si="16"/>
        <v>40</v>
      </c>
      <c r="BN16" s="211">
        <f t="shared" si="17"/>
        <v>1</v>
      </c>
      <c r="BO16" s="211">
        <f t="shared" si="18"/>
        <v>5</v>
      </c>
      <c r="BP16" s="211">
        <f t="shared" si="19"/>
        <v>10</v>
      </c>
      <c r="BQ16" s="211">
        <f t="shared" si="20"/>
        <v>1</v>
      </c>
      <c r="BR16" s="13"/>
      <c r="BS16" s="13"/>
    </row>
    <row r="17" spans="1:71">
      <c r="A17" s="222" t="s">
        <v>129</v>
      </c>
      <c r="B17" s="222" t="s">
        <v>120</v>
      </c>
      <c r="C17" s="223">
        <f t="shared" si="0"/>
        <v>2.375</v>
      </c>
      <c r="D17" s="224">
        <v>16</v>
      </c>
      <c r="E17" s="224">
        <v>2</v>
      </c>
      <c r="F17" s="225">
        <v>2</v>
      </c>
      <c r="G17" s="224">
        <v>10</v>
      </c>
      <c r="H17" s="224">
        <v>4.5</v>
      </c>
      <c r="I17" s="224">
        <v>1</v>
      </c>
      <c r="J17" s="224">
        <v>0</v>
      </c>
      <c r="K17" s="224">
        <v>2.5</v>
      </c>
      <c r="L17" s="224">
        <v>0</v>
      </c>
      <c r="M17" s="224">
        <v>40</v>
      </c>
      <c r="N17" s="224">
        <v>30</v>
      </c>
      <c r="O17" s="224">
        <v>1</v>
      </c>
      <c r="P17" s="224">
        <v>5</v>
      </c>
      <c r="Q17" s="224">
        <v>5</v>
      </c>
      <c r="R17" s="224">
        <v>1</v>
      </c>
      <c r="S17" s="226" t="str">
        <f t="shared" si="21"/>
        <v/>
      </c>
      <c r="T17" s="28"/>
      <c r="U17" s="227"/>
      <c r="V17" s="228"/>
      <c r="W17" s="228"/>
      <c r="X17" s="229">
        <f t="shared" si="1"/>
        <v>0</v>
      </c>
      <c r="Y17" s="218"/>
      <c r="Z17" s="214" t="str">
        <f t="shared" si="2"/>
        <v>Leafy vegetable: stadio Single</v>
      </c>
      <c r="AA17" s="16">
        <v>9</v>
      </c>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230" t="str">
        <f t="shared" si="3"/>
        <v>Leafy vegetable: Stage: Single</v>
      </c>
      <c r="BB17" s="211">
        <f t="shared" si="5"/>
        <v>2.375</v>
      </c>
      <c r="BC17" s="211">
        <f t="shared" si="6"/>
        <v>16</v>
      </c>
      <c r="BD17" s="231">
        <f t="shared" si="7"/>
        <v>2</v>
      </c>
      <c r="BE17" s="231">
        <f t="shared" si="8"/>
        <v>2</v>
      </c>
      <c r="BF17" s="231">
        <f t="shared" si="9"/>
        <v>10</v>
      </c>
      <c r="BG17" s="231">
        <f t="shared" si="10"/>
        <v>4.5</v>
      </c>
      <c r="BH17" s="231">
        <f t="shared" si="11"/>
        <v>1</v>
      </c>
      <c r="BI17" s="231">
        <f t="shared" si="12"/>
        <v>0</v>
      </c>
      <c r="BJ17" s="231">
        <f t="shared" si="13"/>
        <v>2.5</v>
      </c>
      <c r="BK17" s="231">
        <f t="shared" si="14"/>
        <v>0</v>
      </c>
      <c r="BL17" s="211">
        <f t="shared" si="15"/>
        <v>40</v>
      </c>
      <c r="BM17" s="211">
        <f t="shared" si="16"/>
        <v>30</v>
      </c>
      <c r="BN17" s="211">
        <f t="shared" si="17"/>
        <v>1</v>
      </c>
      <c r="BO17" s="211">
        <f t="shared" si="18"/>
        <v>5</v>
      </c>
      <c r="BP17" s="211">
        <f t="shared" si="19"/>
        <v>5</v>
      </c>
      <c r="BQ17" s="211">
        <f t="shared" si="20"/>
        <v>1</v>
      </c>
      <c r="BR17" s="13"/>
      <c r="BS17" s="13"/>
    </row>
    <row r="18" spans="1:71">
      <c r="A18" s="222" t="s">
        <v>128</v>
      </c>
      <c r="B18" s="222" t="s">
        <v>120</v>
      </c>
      <c r="C18" s="223">
        <f t="shared" si="0"/>
        <v>2.0329999999999999</v>
      </c>
      <c r="D18" s="224">
        <v>16</v>
      </c>
      <c r="E18" s="225">
        <v>1</v>
      </c>
      <c r="F18" s="225">
        <v>1.3</v>
      </c>
      <c r="G18" s="224">
        <v>7</v>
      </c>
      <c r="H18" s="224">
        <v>4</v>
      </c>
      <c r="I18" s="224">
        <v>1.7</v>
      </c>
      <c r="J18" s="224">
        <v>0</v>
      </c>
      <c r="K18" s="224">
        <v>1.5</v>
      </c>
      <c r="L18" s="225">
        <v>0</v>
      </c>
      <c r="M18" s="224">
        <v>10</v>
      </c>
      <c r="N18" s="224">
        <v>20</v>
      </c>
      <c r="O18" s="224">
        <v>1</v>
      </c>
      <c r="P18" s="224">
        <v>5</v>
      </c>
      <c r="Q18" s="224">
        <v>10</v>
      </c>
      <c r="R18" s="224">
        <v>1</v>
      </c>
      <c r="S18" s="226" t="str">
        <f t="shared" si="21"/>
        <v/>
      </c>
      <c r="T18" s="28"/>
      <c r="U18" s="227"/>
      <c r="V18" s="228"/>
      <c r="W18" s="228"/>
      <c r="X18" s="229">
        <f t="shared" si="1"/>
        <v>-0.90000000000000213</v>
      </c>
      <c r="Y18" s="218"/>
      <c r="Z18" s="214" t="str">
        <f t="shared" si="2"/>
        <v>Muskmelon: stadio Single</v>
      </c>
      <c r="AA18" s="16">
        <v>10</v>
      </c>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230" t="str">
        <f t="shared" si="3"/>
        <v>Muskmelon: Stage: Single</v>
      </c>
      <c r="BB18" s="211">
        <f t="shared" si="5"/>
        <v>2.0329999999999999</v>
      </c>
      <c r="BC18" s="211">
        <f t="shared" si="6"/>
        <v>16</v>
      </c>
      <c r="BD18" s="231">
        <f t="shared" si="7"/>
        <v>1</v>
      </c>
      <c r="BE18" s="231">
        <f t="shared" si="8"/>
        <v>1.3</v>
      </c>
      <c r="BF18" s="231">
        <f t="shared" si="9"/>
        <v>7</v>
      </c>
      <c r="BG18" s="231">
        <f t="shared" si="10"/>
        <v>4</v>
      </c>
      <c r="BH18" s="231">
        <f t="shared" si="11"/>
        <v>1.7</v>
      </c>
      <c r="BI18" s="231">
        <f t="shared" si="12"/>
        <v>0</v>
      </c>
      <c r="BJ18" s="231">
        <f t="shared" si="13"/>
        <v>1.5</v>
      </c>
      <c r="BK18" s="231">
        <f t="shared" si="14"/>
        <v>0</v>
      </c>
      <c r="BL18" s="211">
        <f t="shared" si="15"/>
        <v>10</v>
      </c>
      <c r="BM18" s="211">
        <f t="shared" si="16"/>
        <v>20</v>
      </c>
      <c r="BN18" s="211">
        <f t="shared" si="17"/>
        <v>1</v>
      </c>
      <c r="BO18" s="211">
        <f t="shared" si="18"/>
        <v>5</v>
      </c>
      <c r="BP18" s="211">
        <f t="shared" si="19"/>
        <v>10</v>
      </c>
      <c r="BQ18" s="211">
        <f t="shared" si="20"/>
        <v>1</v>
      </c>
      <c r="BR18" s="13"/>
      <c r="BS18" s="13"/>
    </row>
    <row r="19" spans="1:71">
      <c r="A19" s="222" t="s">
        <v>133</v>
      </c>
      <c r="B19" s="222" t="s">
        <v>120</v>
      </c>
      <c r="C19" s="223">
        <f t="shared" si="0"/>
        <v>1.3680000000000001</v>
      </c>
      <c r="D19" s="224">
        <v>8.5</v>
      </c>
      <c r="E19" s="224">
        <v>0.5</v>
      </c>
      <c r="F19" s="225">
        <v>1</v>
      </c>
      <c r="G19" s="224">
        <v>4.5</v>
      </c>
      <c r="H19" s="224">
        <v>2.5</v>
      </c>
      <c r="I19" s="224">
        <v>1.2</v>
      </c>
      <c r="J19" s="224">
        <v>0</v>
      </c>
      <c r="K19" s="224">
        <v>1.5</v>
      </c>
      <c r="L19" s="224">
        <v>0</v>
      </c>
      <c r="M19" s="224">
        <v>20</v>
      </c>
      <c r="N19" s="224">
        <v>20</v>
      </c>
      <c r="O19" s="224">
        <v>1</v>
      </c>
      <c r="P19" s="224">
        <v>5</v>
      </c>
      <c r="Q19" s="224">
        <v>10</v>
      </c>
      <c r="R19" s="224">
        <v>1</v>
      </c>
      <c r="S19" s="226" t="str">
        <f t="shared" si="21"/>
        <v/>
      </c>
      <c r="T19" s="28"/>
      <c r="U19" s="227"/>
      <c r="V19" s="218"/>
      <c r="W19" s="218"/>
      <c r="X19" s="229">
        <f t="shared" si="1"/>
        <v>-9.9999999999999645E-2</v>
      </c>
      <c r="Y19" s="218"/>
      <c r="Z19" s="214" t="str">
        <f t="shared" si="2"/>
        <v>Ornamental outdoor plant: stadio Single</v>
      </c>
      <c r="AA19" s="16">
        <v>11</v>
      </c>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230" t="str">
        <f t="shared" si="3"/>
        <v>Ornamental outdoor plant: Stage: Single</v>
      </c>
      <c r="BB19" s="211">
        <f t="shared" si="5"/>
        <v>1.3680000000000001</v>
      </c>
      <c r="BC19" s="211">
        <f t="shared" si="6"/>
        <v>8.5</v>
      </c>
      <c r="BD19" s="231">
        <f t="shared" si="7"/>
        <v>0.5</v>
      </c>
      <c r="BE19" s="231">
        <f t="shared" si="8"/>
        <v>1</v>
      </c>
      <c r="BF19" s="231">
        <f t="shared" si="9"/>
        <v>4.5</v>
      </c>
      <c r="BG19" s="231">
        <f t="shared" si="10"/>
        <v>2.5</v>
      </c>
      <c r="BH19" s="231">
        <f t="shared" si="11"/>
        <v>1.2</v>
      </c>
      <c r="BI19" s="231">
        <f t="shared" si="12"/>
        <v>0</v>
      </c>
      <c r="BJ19" s="231">
        <f t="shared" si="13"/>
        <v>1.5</v>
      </c>
      <c r="BK19" s="231">
        <f t="shared" si="14"/>
        <v>0</v>
      </c>
      <c r="BL19" s="211">
        <f t="shared" si="15"/>
        <v>20</v>
      </c>
      <c r="BM19" s="211">
        <f t="shared" si="16"/>
        <v>20</v>
      </c>
      <c r="BN19" s="211">
        <f t="shared" si="17"/>
        <v>1</v>
      </c>
      <c r="BO19" s="211">
        <f t="shared" si="18"/>
        <v>5</v>
      </c>
      <c r="BP19" s="211">
        <f t="shared" si="19"/>
        <v>10</v>
      </c>
      <c r="BQ19" s="211">
        <f t="shared" si="20"/>
        <v>1</v>
      </c>
      <c r="BR19" s="13"/>
      <c r="BS19" s="13"/>
    </row>
    <row r="20" spans="1:71" ht="21" customHeight="1">
      <c r="A20" s="222" t="s">
        <v>132</v>
      </c>
      <c r="B20" s="222" t="s">
        <v>120</v>
      </c>
      <c r="C20" s="223">
        <f t="shared" si="0"/>
        <v>1.9949999999999999</v>
      </c>
      <c r="D20" s="224">
        <v>15</v>
      </c>
      <c r="E20" s="224">
        <v>1</v>
      </c>
      <c r="F20" s="224">
        <v>1.3</v>
      </c>
      <c r="G20" s="224">
        <v>8</v>
      </c>
      <c r="H20" s="224">
        <v>3.5</v>
      </c>
      <c r="I20" s="224">
        <v>1.5</v>
      </c>
      <c r="J20" s="224">
        <v>0</v>
      </c>
      <c r="K20" s="224">
        <v>1.5</v>
      </c>
      <c r="L20" s="225">
        <v>0</v>
      </c>
      <c r="M20" s="224">
        <v>15</v>
      </c>
      <c r="N20" s="224">
        <v>30</v>
      </c>
      <c r="O20" s="224">
        <v>1</v>
      </c>
      <c r="P20" s="224">
        <v>5</v>
      </c>
      <c r="Q20" s="224">
        <v>10</v>
      </c>
      <c r="R20" s="224">
        <v>1</v>
      </c>
      <c r="S20" s="226" t="str">
        <f t="shared" si="21"/>
        <v/>
      </c>
      <c r="T20" s="28"/>
      <c r="U20" s="227"/>
      <c r="V20" s="228"/>
      <c r="W20" s="228"/>
      <c r="X20" s="229">
        <f t="shared" si="1"/>
        <v>-0.30000000000000071</v>
      </c>
      <c r="Y20" s="218"/>
      <c r="Z20" s="214" t="str">
        <f t="shared" si="2"/>
        <v>Pepper: stadio Single</v>
      </c>
      <c r="AA20" s="16">
        <v>12</v>
      </c>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230" t="str">
        <f t="shared" si="3"/>
        <v>Pepper: Stage: Single</v>
      </c>
      <c r="BB20" s="211">
        <f t="shared" si="5"/>
        <v>1.9949999999999999</v>
      </c>
      <c r="BC20" s="211">
        <f t="shared" si="6"/>
        <v>15</v>
      </c>
      <c r="BD20" s="231">
        <f t="shared" si="7"/>
        <v>1</v>
      </c>
      <c r="BE20" s="231">
        <f t="shared" si="8"/>
        <v>1.3</v>
      </c>
      <c r="BF20" s="231">
        <f t="shared" si="9"/>
        <v>8</v>
      </c>
      <c r="BG20" s="231">
        <f t="shared" si="10"/>
        <v>3.5</v>
      </c>
      <c r="BH20" s="231">
        <f t="shared" si="11"/>
        <v>1.5</v>
      </c>
      <c r="BI20" s="231">
        <f t="shared" si="12"/>
        <v>0</v>
      </c>
      <c r="BJ20" s="231">
        <f t="shared" si="13"/>
        <v>1.5</v>
      </c>
      <c r="BK20" s="231">
        <f t="shared" si="14"/>
        <v>0</v>
      </c>
      <c r="BL20" s="211">
        <f t="shared" si="15"/>
        <v>15</v>
      </c>
      <c r="BM20" s="211">
        <f t="shared" si="16"/>
        <v>30</v>
      </c>
      <c r="BN20" s="211">
        <f t="shared" si="17"/>
        <v>1</v>
      </c>
      <c r="BO20" s="211">
        <f t="shared" si="18"/>
        <v>5</v>
      </c>
      <c r="BP20" s="211">
        <f t="shared" si="19"/>
        <v>10</v>
      </c>
      <c r="BQ20" s="211">
        <f t="shared" si="20"/>
        <v>1</v>
      </c>
      <c r="BR20" s="13"/>
      <c r="BS20" s="13"/>
    </row>
    <row r="21" spans="1:71">
      <c r="A21" s="222" t="s">
        <v>135</v>
      </c>
      <c r="B21" s="222" t="s">
        <v>120</v>
      </c>
      <c r="C21" s="223">
        <f t="shared" si="0"/>
        <v>1.52</v>
      </c>
      <c r="D21" s="224">
        <v>11</v>
      </c>
      <c r="E21" s="224">
        <v>1</v>
      </c>
      <c r="F21" s="225">
        <v>1.3</v>
      </c>
      <c r="G21" s="224">
        <v>5</v>
      </c>
      <c r="H21" s="224">
        <v>3</v>
      </c>
      <c r="I21" s="224">
        <v>1</v>
      </c>
      <c r="J21" s="224">
        <v>0</v>
      </c>
      <c r="K21" s="224">
        <v>1.3</v>
      </c>
      <c r="L21" s="224">
        <v>0</v>
      </c>
      <c r="M21" s="224">
        <v>25</v>
      </c>
      <c r="N21" s="224">
        <v>25</v>
      </c>
      <c r="O21" s="224">
        <v>1</v>
      </c>
      <c r="P21" s="224">
        <v>5</v>
      </c>
      <c r="Q21" s="224">
        <v>5</v>
      </c>
      <c r="R21" s="224">
        <v>1</v>
      </c>
      <c r="S21" s="226" t="str">
        <f t="shared" si="21"/>
        <v/>
      </c>
      <c r="T21" s="28"/>
      <c r="U21" s="227"/>
      <c r="V21" s="228"/>
      <c r="W21" s="228"/>
      <c r="X21" s="229">
        <f t="shared" si="1"/>
        <v>-0.90000000000000036</v>
      </c>
      <c r="Y21" s="218"/>
      <c r="Z21" s="214" t="str">
        <f t="shared" si="2"/>
        <v>Rose: stadio Single</v>
      </c>
      <c r="AA21" s="16">
        <v>13</v>
      </c>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230" t="str">
        <f t="shared" si="3"/>
        <v>Rose: Stage: Single</v>
      </c>
      <c r="BB21" s="211">
        <f t="shared" si="5"/>
        <v>1.52</v>
      </c>
      <c r="BC21" s="211">
        <f t="shared" si="6"/>
        <v>11</v>
      </c>
      <c r="BD21" s="231">
        <f t="shared" si="7"/>
        <v>1</v>
      </c>
      <c r="BE21" s="231">
        <f t="shared" si="8"/>
        <v>1.3</v>
      </c>
      <c r="BF21" s="231">
        <f t="shared" si="9"/>
        <v>5</v>
      </c>
      <c r="BG21" s="231">
        <f t="shared" si="10"/>
        <v>3</v>
      </c>
      <c r="BH21" s="231">
        <f t="shared" si="11"/>
        <v>1</v>
      </c>
      <c r="BI21" s="231">
        <f t="shared" si="12"/>
        <v>0</v>
      </c>
      <c r="BJ21" s="231">
        <f t="shared" si="13"/>
        <v>1.3</v>
      </c>
      <c r="BK21" s="231">
        <f t="shared" si="14"/>
        <v>0</v>
      </c>
      <c r="BL21" s="211">
        <f t="shared" si="15"/>
        <v>25</v>
      </c>
      <c r="BM21" s="211">
        <f t="shared" si="16"/>
        <v>25</v>
      </c>
      <c r="BN21" s="211">
        <f t="shared" si="17"/>
        <v>1</v>
      </c>
      <c r="BO21" s="211">
        <f t="shared" si="18"/>
        <v>5</v>
      </c>
      <c r="BP21" s="211">
        <f t="shared" si="19"/>
        <v>5</v>
      </c>
      <c r="BQ21" s="211">
        <f t="shared" si="20"/>
        <v>1</v>
      </c>
      <c r="BR21" s="13"/>
      <c r="BS21" s="13"/>
    </row>
    <row r="22" spans="1:71">
      <c r="A22" s="222" t="s">
        <v>136</v>
      </c>
      <c r="B22" s="222" t="s">
        <v>120</v>
      </c>
      <c r="C22" s="223">
        <f t="shared" si="0"/>
        <v>2.1660000000000004</v>
      </c>
      <c r="D22" s="224">
        <v>16</v>
      </c>
      <c r="E22" s="224">
        <v>1.3</v>
      </c>
      <c r="F22" s="225">
        <v>1.5</v>
      </c>
      <c r="G22" s="224">
        <v>7.5</v>
      </c>
      <c r="H22" s="224">
        <v>4</v>
      </c>
      <c r="I22" s="224">
        <v>2</v>
      </c>
      <c r="J22" s="224">
        <v>0</v>
      </c>
      <c r="K22" s="224">
        <v>1.8</v>
      </c>
      <c r="L22" s="224">
        <v>0</v>
      </c>
      <c r="M22" s="224">
        <v>10</v>
      </c>
      <c r="N22" s="224">
        <v>50</v>
      </c>
      <c r="O22" s="224">
        <v>1</v>
      </c>
      <c r="P22" s="224">
        <v>5</v>
      </c>
      <c r="Q22" s="224">
        <v>10</v>
      </c>
      <c r="R22" s="224">
        <v>1</v>
      </c>
      <c r="S22" s="226" t="str">
        <f t="shared" si="21"/>
        <v/>
      </c>
      <c r="T22" s="28"/>
      <c r="U22" s="227"/>
      <c r="V22" s="218"/>
      <c r="W22" s="218"/>
      <c r="X22" s="229">
        <f t="shared" si="1"/>
        <v>-0.30000000000000071</v>
      </c>
      <c r="Y22" s="218"/>
      <c r="Z22" s="214" t="str">
        <f t="shared" si="2"/>
        <v>Squash: stadio Single</v>
      </c>
      <c r="AA22" s="16">
        <v>14</v>
      </c>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230" t="str">
        <f t="shared" si="3"/>
        <v>Squash: Stage: Single</v>
      </c>
      <c r="BB22" s="211">
        <f t="shared" si="5"/>
        <v>2.1660000000000004</v>
      </c>
      <c r="BC22" s="211">
        <f t="shared" si="6"/>
        <v>16</v>
      </c>
      <c r="BD22" s="231">
        <f t="shared" si="7"/>
        <v>1.3</v>
      </c>
      <c r="BE22" s="231">
        <f t="shared" si="8"/>
        <v>1.5</v>
      </c>
      <c r="BF22" s="231">
        <f t="shared" si="9"/>
        <v>7.5</v>
      </c>
      <c r="BG22" s="231">
        <f t="shared" si="10"/>
        <v>4</v>
      </c>
      <c r="BH22" s="231">
        <f t="shared" si="11"/>
        <v>2</v>
      </c>
      <c r="BI22" s="231">
        <f t="shared" si="12"/>
        <v>0</v>
      </c>
      <c r="BJ22" s="231">
        <f t="shared" si="13"/>
        <v>1.8</v>
      </c>
      <c r="BK22" s="231">
        <f t="shared" si="14"/>
        <v>0</v>
      </c>
      <c r="BL22" s="211">
        <f t="shared" si="15"/>
        <v>10</v>
      </c>
      <c r="BM22" s="211">
        <f t="shared" si="16"/>
        <v>50</v>
      </c>
      <c r="BN22" s="211">
        <f t="shared" si="17"/>
        <v>1</v>
      </c>
      <c r="BO22" s="211">
        <f t="shared" si="18"/>
        <v>5</v>
      </c>
      <c r="BP22" s="211">
        <f t="shared" si="19"/>
        <v>10</v>
      </c>
      <c r="BQ22" s="211">
        <f t="shared" si="20"/>
        <v>1</v>
      </c>
      <c r="BR22" s="13"/>
      <c r="BS22" s="13"/>
    </row>
    <row r="23" spans="1:71">
      <c r="A23" s="222" t="s">
        <v>125</v>
      </c>
      <c r="B23" s="222" t="s">
        <v>120</v>
      </c>
      <c r="C23" s="223">
        <f t="shared" si="0"/>
        <v>1.7004999999999999</v>
      </c>
      <c r="D23" s="224">
        <v>9.9950024987506243</v>
      </c>
      <c r="E23" s="225">
        <v>1</v>
      </c>
      <c r="F23" s="225">
        <v>1</v>
      </c>
      <c r="G23" s="224">
        <v>5.5</v>
      </c>
      <c r="H23" s="224">
        <v>3.5</v>
      </c>
      <c r="I23" s="224">
        <v>1.2</v>
      </c>
      <c r="J23" s="224">
        <v>0</v>
      </c>
      <c r="K23" s="224">
        <v>2</v>
      </c>
      <c r="L23" s="225">
        <v>0</v>
      </c>
      <c r="M23" s="224">
        <v>20</v>
      </c>
      <c r="N23" s="224">
        <v>30</v>
      </c>
      <c r="O23" s="224">
        <v>1</v>
      </c>
      <c r="P23" s="224">
        <v>5</v>
      </c>
      <c r="Q23" s="224">
        <v>10</v>
      </c>
      <c r="R23" s="224">
        <v>1</v>
      </c>
      <c r="S23" s="226" t="str">
        <f t="shared" si="21"/>
        <v/>
      </c>
      <c r="T23" s="28"/>
      <c r="U23" s="227"/>
      <c r="V23" s="228"/>
      <c r="W23" s="228"/>
      <c r="X23" s="229">
        <f t="shared" si="1"/>
        <v>0.90499750124937606</v>
      </c>
      <c r="Y23" s="218"/>
      <c r="Z23" s="214" t="str">
        <f t="shared" si="2"/>
        <v>Strawberry: stadio Single</v>
      </c>
      <c r="AA23" s="16">
        <v>15</v>
      </c>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230" t="str">
        <f t="shared" si="3"/>
        <v>Strawberry: Stage: Single</v>
      </c>
      <c r="BB23" s="211">
        <f t="shared" si="5"/>
        <v>1.7004999999999999</v>
      </c>
      <c r="BC23" s="211">
        <f t="shared" si="6"/>
        <v>9.9950024987506243</v>
      </c>
      <c r="BD23" s="231">
        <f t="shared" si="7"/>
        <v>1</v>
      </c>
      <c r="BE23" s="231">
        <f t="shared" si="8"/>
        <v>1</v>
      </c>
      <c r="BF23" s="231">
        <f t="shared" si="9"/>
        <v>5.5</v>
      </c>
      <c r="BG23" s="231">
        <f t="shared" si="10"/>
        <v>3.5</v>
      </c>
      <c r="BH23" s="231">
        <f t="shared" si="11"/>
        <v>1.2</v>
      </c>
      <c r="BI23" s="231">
        <f t="shared" si="12"/>
        <v>0</v>
      </c>
      <c r="BJ23" s="231">
        <f t="shared" si="13"/>
        <v>2</v>
      </c>
      <c r="BK23" s="231">
        <f t="shared" si="14"/>
        <v>0</v>
      </c>
      <c r="BL23" s="211">
        <f t="shared" si="15"/>
        <v>20</v>
      </c>
      <c r="BM23" s="211">
        <f t="shared" si="16"/>
        <v>30</v>
      </c>
      <c r="BN23" s="211">
        <f t="shared" si="17"/>
        <v>1</v>
      </c>
      <c r="BO23" s="211">
        <f t="shared" si="18"/>
        <v>5</v>
      </c>
      <c r="BP23" s="211">
        <f t="shared" si="19"/>
        <v>10</v>
      </c>
      <c r="BQ23" s="211">
        <f t="shared" si="20"/>
        <v>1</v>
      </c>
      <c r="BR23" s="13"/>
      <c r="BS23" s="13"/>
    </row>
    <row r="24" spans="1:71">
      <c r="A24" s="222" t="s">
        <v>134</v>
      </c>
      <c r="B24" s="222" t="s">
        <v>120</v>
      </c>
      <c r="C24" s="223">
        <f t="shared" si="0"/>
        <v>2.09</v>
      </c>
      <c r="D24" s="224">
        <v>14</v>
      </c>
      <c r="E24" s="224">
        <v>1</v>
      </c>
      <c r="F24" s="224">
        <v>1</v>
      </c>
      <c r="G24" s="224">
        <v>8</v>
      </c>
      <c r="H24" s="224">
        <v>4</v>
      </c>
      <c r="I24" s="224">
        <v>1.5</v>
      </c>
      <c r="J24" s="225">
        <v>0</v>
      </c>
      <c r="K24" s="224">
        <v>2.5</v>
      </c>
      <c r="L24" s="225">
        <v>0</v>
      </c>
      <c r="M24" s="224">
        <v>15</v>
      </c>
      <c r="N24" s="224">
        <v>20</v>
      </c>
      <c r="O24" s="224">
        <v>1</v>
      </c>
      <c r="P24" s="224">
        <v>5</v>
      </c>
      <c r="Q24" s="224">
        <v>10</v>
      </c>
      <c r="R24" s="224">
        <v>1</v>
      </c>
      <c r="S24" s="226" t="str">
        <f t="shared" si="21"/>
        <v/>
      </c>
      <c r="T24" s="28"/>
      <c r="U24" s="227"/>
      <c r="V24" s="228"/>
      <c r="W24" s="228"/>
      <c r="X24" s="229">
        <f t="shared" si="1"/>
        <v>0</v>
      </c>
      <c r="Y24" s="218"/>
      <c r="Z24" s="214" t="str">
        <f t="shared" si="2"/>
        <v>Tomato: stadio Single</v>
      </c>
      <c r="AA24" s="16">
        <v>16</v>
      </c>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230" t="str">
        <f t="shared" si="3"/>
        <v>Tomato: Stage: Single</v>
      </c>
      <c r="BB24" s="211">
        <f t="shared" si="5"/>
        <v>2.09</v>
      </c>
      <c r="BC24" s="211">
        <f t="shared" si="6"/>
        <v>14</v>
      </c>
      <c r="BD24" s="231">
        <f t="shared" si="7"/>
        <v>1</v>
      </c>
      <c r="BE24" s="231">
        <f t="shared" si="8"/>
        <v>1</v>
      </c>
      <c r="BF24" s="231">
        <f t="shared" si="9"/>
        <v>8</v>
      </c>
      <c r="BG24" s="231">
        <f t="shared" si="10"/>
        <v>4</v>
      </c>
      <c r="BH24" s="231">
        <f t="shared" si="11"/>
        <v>1.5</v>
      </c>
      <c r="BI24" s="231">
        <f t="shared" si="12"/>
        <v>0</v>
      </c>
      <c r="BJ24" s="231">
        <f t="shared" si="13"/>
        <v>2.5</v>
      </c>
      <c r="BK24" s="231">
        <f t="shared" si="14"/>
        <v>0</v>
      </c>
      <c r="BL24" s="211">
        <f t="shared" si="15"/>
        <v>15</v>
      </c>
      <c r="BM24" s="211">
        <f t="shared" si="16"/>
        <v>20</v>
      </c>
      <c r="BN24" s="211">
        <f t="shared" si="17"/>
        <v>1</v>
      </c>
      <c r="BO24" s="211">
        <f t="shared" si="18"/>
        <v>5</v>
      </c>
      <c r="BP24" s="211">
        <f t="shared" si="19"/>
        <v>10</v>
      </c>
      <c r="BQ24" s="211">
        <f t="shared" si="20"/>
        <v>1</v>
      </c>
      <c r="BR24" s="13"/>
      <c r="BS24" s="13"/>
    </row>
    <row r="25" spans="1:71">
      <c r="A25" s="222" t="s">
        <v>122</v>
      </c>
      <c r="B25" s="222" t="s">
        <v>123</v>
      </c>
      <c r="C25" s="223">
        <f t="shared" si="0"/>
        <v>0</v>
      </c>
      <c r="D25" s="224"/>
      <c r="E25" s="224"/>
      <c r="F25" s="225"/>
      <c r="G25" s="224"/>
      <c r="H25" s="224"/>
      <c r="I25" s="224"/>
      <c r="J25" s="224"/>
      <c r="K25" s="224"/>
      <c r="L25" s="224"/>
      <c r="M25" s="224"/>
      <c r="N25" s="224"/>
      <c r="O25" s="224"/>
      <c r="P25" s="224"/>
      <c r="Q25" s="224"/>
      <c r="R25" s="224"/>
      <c r="S25" s="226" t="str">
        <f t="shared" si="21"/>
        <v/>
      </c>
      <c r="T25" s="28"/>
      <c r="U25" s="227"/>
      <c r="V25" s="228"/>
      <c r="W25" s="228"/>
      <c r="X25" s="229">
        <f t="shared" si="1"/>
        <v>0</v>
      </c>
      <c r="Y25" s="218"/>
      <c r="Z25" s="214" t="str">
        <f t="shared" si="2"/>
        <v>zzRecipe: stadio : inserted values</v>
      </c>
      <c r="AA25" s="16">
        <v>17</v>
      </c>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230" t="str">
        <f t="shared" si="3"/>
        <v>zzRecipe: Stage: : inserted values</v>
      </c>
      <c r="BB25" s="211">
        <f t="shared" si="5"/>
        <v>0</v>
      </c>
      <c r="BC25" s="211">
        <f t="shared" si="6"/>
        <v>0</v>
      </c>
      <c r="BD25" s="231">
        <f t="shared" si="7"/>
        <v>0</v>
      </c>
      <c r="BE25" s="231">
        <f t="shared" si="8"/>
        <v>0</v>
      </c>
      <c r="BF25" s="231">
        <f t="shared" si="9"/>
        <v>0</v>
      </c>
      <c r="BG25" s="231">
        <f t="shared" si="10"/>
        <v>0</v>
      </c>
      <c r="BH25" s="231">
        <f t="shared" si="11"/>
        <v>0</v>
      </c>
      <c r="BI25" s="231">
        <f t="shared" si="12"/>
        <v>0</v>
      </c>
      <c r="BJ25" s="231">
        <f t="shared" si="13"/>
        <v>0</v>
      </c>
      <c r="BK25" s="231">
        <f t="shared" si="14"/>
        <v>0</v>
      </c>
      <c r="BL25" s="211">
        <f t="shared" si="15"/>
        <v>0</v>
      </c>
      <c r="BM25" s="211">
        <f t="shared" si="16"/>
        <v>0</v>
      </c>
      <c r="BN25" s="211">
        <f t="shared" si="17"/>
        <v>0</v>
      </c>
      <c r="BO25" s="211">
        <f t="shared" si="18"/>
        <v>0</v>
      </c>
      <c r="BP25" s="211">
        <f t="shared" si="19"/>
        <v>0</v>
      </c>
      <c r="BQ25" s="211">
        <f t="shared" si="20"/>
        <v>0</v>
      </c>
      <c r="BR25" s="13"/>
      <c r="BS25" s="13"/>
    </row>
    <row r="26" spans="1:71">
      <c r="A26" s="222" t="s">
        <v>122</v>
      </c>
      <c r="B26" s="222" t="s">
        <v>123</v>
      </c>
      <c r="C26" s="223">
        <f t="shared" si="0"/>
        <v>0</v>
      </c>
      <c r="D26" s="224"/>
      <c r="E26" s="224"/>
      <c r="F26" s="225"/>
      <c r="G26" s="224"/>
      <c r="H26" s="224"/>
      <c r="I26" s="224"/>
      <c r="J26" s="224"/>
      <c r="K26" s="224"/>
      <c r="L26" s="224"/>
      <c r="M26" s="224"/>
      <c r="N26" s="224"/>
      <c r="O26" s="224"/>
      <c r="P26" s="224"/>
      <c r="Q26" s="224"/>
      <c r="R26" s="224"/>
      <c r="S26" s="226" t="str">
        <f t="shared" si="21"/>
        <v/>
      </c>
      <c r="T26" s="28"/>
      <c r="U26" s="227"/>
      <c r="V26" s="218"/>
      <c r="W26" s="218"/>
      <c r="X26" s="229">
        <f t="shared" si="1"/>
        <v>0</v>
      </c>
      <c r="Y26" s="218"/>
      <c r="Z26" s="214" t="str">
        <f t="shared" si="2"/>
        <v>zzRecipe: stadio : inserted values</v>
      </c>
      <c r="AA26" s="16">
        <v>18</v>
      </c>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230" t="str">
        <f t="shared" si="3"/>
        <v>zzRecipe: Stage: : inserted values</v>
      </c>
      <c r="BB26" s="211">
        <f t="shared" si="5"/>
        <v>0</v>
      </c>
      <c r="BC26" s="211">
        <f t="shared" si="6"/>
        <v>0</v>
      </c>
      <c r="BD26" s="231">
        <f t="shared" si="7"/>
        <v>0</v>
      </c>
      <c r="BE26" s="231">
        <f t="shared" si="8"/>
        <v>0</v>
      </c>
      <c r="BF26" s="231">
        <f t="shared" si="9"/>
        <v>0</v>
      </c>
      <c r="BG26" s="231">
        <f t="shared" si="10"/>
        <v>0</v>
      </c>
      <c r="BH26" s="231">
        <f t="shared" si="11"/>
        <v>0</v>
      </c>
      <c r="BI26" s="231">
        <f t="shared" si="12"/>
        <v>0</v>
      </c>
      <c r="BJ26" s="231">
        <f t="shared" si="13"/>
        <v>0</v>
      </c>
      <c r="BK26" s="231">
        <f t="shared" si="14"/>
        <v>0</v>
      </c>
      <c r="BL26" s="211">
        <f t="shared" si="15"/>
        <v>0</v>
      </c>
      <c r="BM26" s="211">
        <f t="shared" si="16"/>
        <v>0</v>
      </c>
      <c r="BN26" s="211">
        <f t="shared" si="17"/>
        <v>0</v>
      </c>
      <c r="BO26" s="211">
        <f t="shared" si="18"/>
        <v>0</v>
      </c>
      <c r="BP26" s="211">
        <f t="shared" si="19"/>
        <v>0</v>
      </c>
      <c r="BQ26" s="211">
        <f t="shared" si="20"/>
        <v>0</v>
      </c>
      <c r="BR26" s="13"/>
      <c r="BS26" s="13"/>
    </row>
    <row r="27" spans="1:71">
      <c r="A27" s="222" t="s">
        <v>122</v>
      </c>
      <c r="B27" s="222" t="s">
        <v>123</v>
      </c>
      <c r="C27" s="223">
        <f t="shared" si="0"/>
        <v>0</v>
      </c>
      <c r="D27" s="224"/>
      <c r="E27" s="224"/>
      <c r="F27" s="225"/>
      <c r="G27" s="224"/>
      <c r="H27" s="224"/>
      <c r="I27" s="224"/>
      <c r="J27" s="224"/>
      <c r="K27" s="224"/>
      <c r="L27" s="224"/>
      <c r="M27" s="224"/>
      <c r="N27" s="224"/>
      <c r="O27" s="224"/>
      <c r="P27" s="224"/>
      <c r="Q27" s="224"/>
      <c r="R27" s="224"/>
      <c r="S27" s="226" t="str">
        <f t="shared" si="21"/>
        <v/>
      </c>
      <c r="T27" s="28"/>
      <c r="U27" s="227"/>
      <c r="V27" s="218"/>
      <c r="W27" s="218"/>
      <c r="X27" s="229">
        <f t="shared" si="1"/>
        <v>0</v>
      </c>
      <c r="Y27" s="218"/>
      <c r="Z27" s="214" t="str">
        <f t="shared" si="2"/>
        <v>zzRecipe: stadio : inserted values</v>
      </c>
      <c r="AA27" s="16">
        <v>19</v>
      </c>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230" t="str">
        <f t="shared" si="3"/>
        <v>zzRecipe: Stage: : inserted values</v>
      </c>
      <c r="BB27" s="211">
        <f t="shared" si="5"/>
        <v>0</v>
      </c>
      <c r="BC27" s="211">
        <f t="shared" si="6"/>
        <v>0</v>
      </c>
      <c r="BD27" s="231">
        <f t="shared" si="7"/>
        <v>0</v>
      </c>
      <c r="BE27" s="231">
        <f t="shared" si="8"/>
        <v>0</v>
      </c>
      <c r="BF27" s="231">
        <f t="shared" si="9"/>
        <v>0</v>
      </c>
      <c r="BG27" s="231">
        <f t="shared" si="10"/>
        <v>0</v>
      </c>
      <c r="BH27" s="231">
        <f t="shared" si="11"/>
        <v>0</v>
      </c>
      <c r="BI27" s="231">
        <f t="shared" si="12"/>
        <v>0</v>
      </c>
      <c r="BJ27" s="231">
        <f t="shared" si="13"/>
        <v>0</v>
      </c>
      <c r="BK27" s="231">
        <f t="shared" si="14"/>
        <v>0</v>
      </c>
      <c r="BL27" s="211">
        <f t="shared" si="15"/>
        <v>0</v>
      </c>
      <c r="BM27" s="211">
        <f t="shared" si="16"/>
        <v>0</v>
      </c>
      <c r="BN27" s="211">
        <f t="shared" si="17"/>
        <v>0</v>
      </c>
      <c r="BO27" s="211">
        <f t="shared" si="18"/>
        <v>0</v>
      </c>
      <c r="BP27" s="211">
        <f t="shared" si="19"/>
        <v>0</v>
      </c>
      <c r="BQ27" s="211">
        <f t="shared" si="20"/>
        <v>0</v>
      </c>
      <c r="BR27" s="13"/>
      <c r="BS27" s="13"/>
    </row>
    <row r="28" spans="1:71">
      <c r="A28" s="222" t="s">
        <v>122</v>
      </c>
      <c r="B28" s="222" t="s">
        <v>123</v>
      </c>
      <c r="C28" s="223">
        <f t="shared" si="0"/>
        <v>0</v>
      </c>
      <c r="D28" s="224"/>
      <c r="E28" s="224"/>
      <c r="F28" s="225"/>
      <c r="G28" s="224"/>
      <c r="H28" s="224"/>
      <c r="I28" s="224"/>
      <c r="J28" s="224"/>
      <c r="K28" s="224"/>
      <c r="L28" s="224"/>
      <c r="M28" s="224"/>
      <c r="N28" s="224"/>
      <c r="O28" s="224"/>
      <c r="P28" s="224"/>
      <c r="Q28" s="224"/>
      <c r="R28" s="224"/>
      <c r="S28" s="226" t="str">
        <f t="shared" si="21"/>
        <v/>
      </c>
      <c r="T28" s="28"/>
      <c r="U28" s="227"/>
      <c r="V28" s="218"/>
      <c r="W28" s="218"/>
      <c r="X28" s="229">
        <f t="shared" si="1"/>
        <v>0</v>
      </c>
      <c r="Y28" s="218"/>
      <c r="Z28" s="214" t="str">
        <f t="shared" si="2"/>
        <v>zzRecipe: stadio : inserted values</v>
      </c>
      <c r="AA28" s="16">
        <v>20</v>
      </c>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230" t="str">
        <f t="shared" si="3"/>
        <v>zzRecipe: Stage: : inserted values</v>
      </c>
      <c r="BB28" s="211">
        <f t="shared" si="5"/>
        <v>0</v>
      </c>
      <c r="BC28" s="211">
        <f t="shared" si="6"/>
        <v>0</v>
      </c>
      <c r="BD28" s="231">
        <f t="shared" si="7"/>
        <v>0</v>
      </c>
      <c r="BE28" s="231">
        <f t="shared" si="8"/>
        <v>0</v>
      </c>
      <c r="BF28" s="231">
        <f t="shared" si="9"/>
        <v>0</v>
      </c>
      <c r="BG28" s="231">
        <f t="shared" si="10"/>
        <v>0</v>
      </c>
      <c r="BH28" s="231">
        <f t="shared" si="11"/>
        <v>0</v>
      </c>
      <c r="BI28" s="231">
        <f t="shared" si="12"/>
        <v>0</v>
      </c>
      <c r="BJ28" s="231">
        <f t="shared" si="13"/>
        <v>0</v>
      </c>
      <c r="BK28" s="231">
        <f t="shared" si="14"/>
        <v>0</v>
      </c>
      <c r="BL28" s="211">
        <f t="shared" si="15"/>
        <v>0</v>
      </c>
      <c r="BM28" s="211">
        <f t="shared" si="16"/>
        <v>0</v>
      </c>
      <c r="BN28" s="211">
        <f t="shared" si="17"/>
        <v>0</v>
      </c>
      <c r="BO28" s="211">
        <f t="shared" si="18"/>
        <v>0</v>
      </c>
      <c r="BP28" s="211">
        <f t="shared" si="19"/>
        <v>0</v>
      </c>
      <c r="BQ28" s="211">
        <f t="shared" si="20"/>
        <v>0</v>
      </c>
      <c r="BR28" s="13"/>
      <c r="BS28" s="13"/>
    </row>
    <row r="29" spans="1:71">
      <c r="A29" s="222" t="s">
        <v>122</v>
      </c>
      <c r="B29" s="222" t="s">
        <v>123</v>
      </c>
      <c r="C29" s="223">
        <f t="shared" si="0"/>
        <v>0</v>
      </c>
      <c r="D29" s="224"/>
      <c r="E29" s="224"/>
      <c r="F29" s="225"/>
      <c r="G29" s="224"/>
      <c r="H29" s="224"/>
      <c r="I29" s="224"/>
      <c r="J29" s="224"/>
      <c r="K29" s="224"/>
      <c r="L29" s="224"/>
      <c r="M29" s="224"/>
      <c r="N29" s="224"/>
      <c r="O29" s="224"/>
      <c r="P29" s="224"/>
      <c r="Q29" s="224"/>
      <c r="R29" s="224"/>
      <c r="S29" s="226" t="str">
        <f t="shared" si="21"/>
        <v/>
      </c>
      <c r="T29" s="28"/>
      <c r="U29" s="227"/>
      <c r="V29" s="218"/>
      <c r="W29" s="218"/>
      <c r="X29" s="229">
        <f t="shared" si="1"/>
        <v>0</v>
      </c>
      <c r="Y29" s="218"/>
      <c r="Z29" s="214" t="str">
        <f t="shared" si="2"/>
        <v>zzRecipe: stadio : inserted values</v>
      </c>
      <c r="AA29" s="16">
        <v>21</v>
      </c>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230" t="str">
        <f t="shared" si="3"/>
        <v>zzRecipe: Stage: : inserted values</v>
      </c>
      <c r="BB29" s="211">
        <f t="shared" si="5"/>
        <v>0</v>
      </c>
      <c r="BC29" s="211">
        <f t="shared" si="6"/>
        <v>0</v>
      </c>
      <c r="BD29" s="231">
        <f t="shared" si="7"/>
        <v>0</v>
      </c>
      <c r="BE29" s="231">
        <f t="shared" si="8"/>
        <v>0</v>
      </c>
      <c r="BF29" s="231">
        <f t="shared" si="9"/>
        <v>0</v>
      </c>
      <c r="BG29" s="231">
        <f t="shared" si="10"/>
        <v>0</v>
      </c>
      <c r="BH29" s="231">
        <f t="shared" si="11"/>
        <v>0</v>
      </c>
      <c r="BI29" s="231">
        <f t="shared" si="12"/>
        <v>0</v>
      </c>
      <c r="BJ29" s="231">
        <f t="shared" si="13"/>
        <v>0</v>
      </c>
      <c r="BK29" s="231">
        <f t="shared" si="14"/>
        <v>0</v>
      </c>
      <c r="BL29" s="211">
        <f t="shared" si="15"/>
        <v>0</v>
      </c>
      <c r="BM29" s="211">
        <f t="shared" si="16"/>
        <v>0</v>
      </c>
      <c r="BN29" s="211">
        <f t="shared" si="17"/>
        <v>0</v>
      </c>
      <c r="BO29" s="211">
        <f t="shared" si="18"/>
        <v>0</v>
      </c>
      <c r="BP29" s="211">
        <f t="shared" si="19"/>
        <v>0</v>
      </c>
      <c r="BQ29" s="211">
        <f t="shared" si="20"/>
        <v>0</v>
      </c>
      <c r="BR29" s="13"/>
      <c r="BS29" s="13"/>
    </row>
    <row r="30" spans="1:71">
      <c r="A30" s="222" t="s">
        <v>122</v>
      </c>
      <c r="B30" s="222" t="s">
        <v>123</v>
      </c>
      <c r="C30" s="223">
        <f t="shared" si="0"/>
        <v>0</v>
      </c>
      <c r="D30" s="224"/>
      <c r="E30" s="224"/>
      <c r="F30" s="225"/>
      <c r="G30" s="224"/>
      <c r="H30" s="224"/>
      <c r="I30" s="224"/>
      <c r="J30" s="224"/>
      <c r="K30" s="224"/>
      <c r="L30" s="224"/>
      <c r="M30" s="224"/>
      <c r="N30" s="224"/>
      <c r="O30" s="224"/>
      <c r="P30" s="224"/>
      <c r="Q30" s="224"/>
      <c r="R30" s="224"/>
      <c r="S30" s="226" t="str">
        <f t="shared" si="21"/>
        <v/>
      </c>
      <c r="T30" s="28"/>
      <c r="U30" s="227"/>
      <c r="V30" s="218"/>
      <c r="W30" s="218"/>
      <c r="X30" s="229">
        <f t="shared" si="1"/>
        <v>0</v>
      </c>
      <c r="Y30" s="218"/>
      <c r="Z30" s="214" t="str">
        <f t="shared" si="2"/>
        <v>zzRecipe: stadio : inserted values</v>
      </c>
      <c r="AA30" s="16">
        <v>22</v>
      </c>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230" t="str">
        <f t="shared" si="3"/>
        <v>zzRecipe: Stage: : inserted values</v>
      </c>
      <c r="BB30" s="211">
        <f t="shared" si="5"/>
        <v>0</v>
      </c>
      <c r="BC30" s="211">
        <f t="shared" si="6"/>
        <v>0</v>
      </c>
      <c r="BD30" s="231">
        <f t="shared" si="7"/>
        <v>0</v>
      </c>
      <c r="BE30" s="231">
        <f t="shared" si="8"/>
        <v>0</v>
      </c>
      <c r="BF30" s="231">
        <f t="shared" si="9"/>
        <v>0</v>
      </c>
      <c r="BG30" s="231">
        <f t="shared" si="10"/>
        <v>0</v>
      </c>
      <c r="BH30" s="231">
        <f t="shared" si="11"/>
        <v>0</v>
      </c>
      <c r="BI30" s="231">
        <f t="shared" si="12"/>
        <v>0</v>
      </c>
      <c r="BJ30" s="231">
        <f t="shared" si="13"/>
        <v>0</v>
      </c>
      <c r="BK30" s="231">
        <f t="shared" si="14"/>
        <v>0</v>
      </c>
      <c r="BL30" s="211">
        <f t="shared" si="15"/>
        <v>0</v>
      </c>
      <c r="BM30" s="211">
        <f t="shared" si="16"/>
        <v>0</v>
      </c>
      <c r="BN30" s="211">
        <f t="shared" si="17"/>
        <v>0</v>
      </c>
      <c r="BO30" s="211">
        <f t="shared" si="18"/>
        <v>0</v>
      </c>
      <c r="BP30" s="211">
        <f t="shared" si="19"/>
        <v>0</v>
      </c>
      <c r="BQ30" s="211">
        <f t="shared" si="20"/>
        <v>0</v>
      </c>
      <c r="BR30" s="13"/>
      <c r="BS30" s="13"/>
    </row>
    <row r="31" spans="1:71">
      <c r="A31" s="222" t="s">
        <v>122</v>
      </c>
      <c r="B31" s="222" t="s">
        <v>123</v>
      </c>
      <c r="C31" s="223">
        <f t="shared" si="0"/>
        <v>0</v>
      </c>
      <c r="D31" s="224"/>
      <c r="E31" s="224"/>
      <c r="F31" s="225"/>
      <c r="G31" s="224"/>
      <c r="H31" s="224"/>
      <c r="I31" s="224"/>
      <c r="J31" s="224"/>
      <c r="K31" s="224"/>
      <c r="L31" s="224"/>
      <c r="M31" s="224"/>
      <c r="N31" s="224"/>
      <c r="O31" s="224"/>
      <c r="P31" s="224"/>
      <c r="Q31" s="224"/>
      <c r="R31" s="224"/>
      <c r="S31" s="226" t="str">
        <f t="shared" si="21"/>
        <v/>
      </c>
      <c r="T31" s="28"/>
      <c r="U31" s="227"/>
      <c r="V31" s="218"/>
      <c r="W31" s="218"/>
      <c r="X31" s="229">
        <f t="shared" si="1"/>
        <v>0</v>
      </c>
      <c r="Y31" s="218"/>
      <c r="Z31" s="214" t="str">
        <f t="shared" si="2"/>
        <v>zzRecipe: stadio : inserted values</v>
      </c>
      <c r="AA31" s="16">
        <v>23</v>
      </c>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230" t="str">
        <f t="shared" si="3"/>
        <v>zzRecipe: Stage: : inserted values</v>
      </c>
      <c r="BB31" s="211">
        <f t="shared" si="5"/>
        <v>0</v>
      </c>
      <c r="BC31" s="211">
        <f t="shared" si="6"/>
        <v>0</v>
      </c>
      <c r="BD31" s="231">
        <f t="shared" si="7"/>
        <v>0</v>
      </c>
      <c r="BE31" s="231">
        <f t="shared" si="8"/>
        <v>0</v>
      </c>
      <c r="BF31" s="231">
        <f t="shared" si="9"/>
        <v>0</v>
      </c>
      <c r="BG31" s="231">
        <f t="shared" si="10"/>
        <v>0</v>
      </c>
      <c r="BH31" s="231">
        <f t="shared" si="11"/>
        <v>0</v>
      </c>
      <c r="BI31" s="231">
        <f t="shared" si="12"/>
        <v>0</v>
      </c>
      <c r="BJ31" s="231">
        <f t="shared" si="13"/>
        <v>0</v>
      </c>
      <c r="BK31" s="231">
        <f t="shared" si="14"/>
        <v>0</v>
      </c>
      <c r="BL31" s="211">
        <f t="shared" si="15"/>
        <v>0</v>
      </c>
      <c r="BM31" s="211">
        <f t="shared" si="16"/>
        <v>0</v>
      </c>
      <c r="BN31" s="211">
        <f t="shared" si="17"/>
        <v>0</v>
      </c>
      <c r="BO31" s="211">
        <f t="shared" si="18"/>
        <v>0</v>
      </c>
      <c r="BP31" s="211">
        <f t="shared" si="19"/>
        <v>0</v>
      </c>
      <c r="BQ31" s="211">
        <f t="shared" si="20"/>
        <v>0</v>
      </c>
      <c r="BR31" s="13"/>
      <c r="BS31" s="13"/>
    </row>
    <row r="32" spans="1:71">
      <c r="A32" s="222" t="s">
        <v>122</v>
      </c>
      <c r="B32" s="222" t="s">
        <v>123</v>
      </c>
      <c r="C32" s="223">
        <f t="shared" si="0"/>
        <v>0</v>
      </c>
      <c r="D32" s="224"/>
      <c r="E32" s="224"/>
      <c r="F32" s="225"/>
      <c r="G32" s="224"/>
      <c r="H32" s="224"/>
      <c r="I32" s="224"/>
      <c r="J32" s="224"/>
      <c r="K32" s="224"/>
      <c r="L32" s="224"/>
      <c r="M32" s="224"/>
      <c r="N32" s="224"/>
      <c r="O32" s="224"/>
      <c r="P32" s="224"/>
      <c r="Q32" s="224"/>
      <c r="R32" s="224"/>
      <c r="S32" s="226" t="str">
        <f t="shared" si="21"/>
        <v/>
      </c>
      <c r="T32" s="28"/>
      <c r="U32" s="227"/>
      <c r="V32" s="218"/>
      <c r="W32" s="218"/>
      <c r="X32" s="229">
        <f t="shared" si="1"/>
        <v>0</v>
      </c>
      <c r="Y32" s="218"/>
      <c r="Z32" s="214" t="str">
        <f t="shared" si="2"/>
        <v>zzRecipe: stadio : inserted values</v>
      </c>
      <c r="AA32" s="16">
        <v>24</v>
      </c>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230" t="str">
        <f t="shared" si="3"/>
        <v>zzRecipe: Stage: : inserted values</v>
      </c>
      <c r="BB32" s="211">
        <f t="shared" si="5"/>
        <v>0</v>
      </c>
      <c r="BC32" s="211">
        <f t="shared" si="6"/>
        <v>0</v>
      </c>
      <c r="BD32" s="231">
        <f t="shared" si="7"/>
        <v>0</v>
      </c>
      <c r="BE32" s="231">
        <f t="shared" si="8"/>
        <v>0</v>
      </c>
      <c r="BF32" s="231">
        <f t="shared" si="9"/>
        <v>0</v>
      </c>
      <c r="BG32" s="231">
        <f t="shared" si="10"/>
        <v>0</v>
      </c>
      <c r="BH32" s="231">
        <f t="shared" si="11"/>
        <v>0</v>
      </c>
      <c r="BI32" s="231">
        <f t="shared" si="12"/>
        <v>0</v>
      </c>
      <c r="BJ32" s="231">
        <f t="shared" si="13"/>
        <v>0</v>
      </c>
      <c r="BK32" s="231">
        <f t="shared" si="14"/>
        <v>0</v>
      </c>
      <c r="BL32" s="211">
        <f t="shared" si="15"/>
        <v>0</v>
      </c>
      <c r="BM32" s="211">
        <f t="shared" si="16"/>
        <v>0</v>
      </c>
      <c r="BN32" s="211">
        <f t="shared" si="17"/>
        <v>0</v>
      </c>
      <c r="BO32" s="211">
        <f t="shared" si="18"/>
        <v>0</v>
      </c>
      <c r="BP32" s="211">
        <f t="shared" si="19"/>
        <v>0</v>
      </c>
      <c r="BQ32" s="211">
        <f t="shared" si="20"/>
        <v>0</v>
      </c>
      <c r="BR32" s="13"/>
      <c r="BS32" s="13"/>
    </row>
    <row r="33" spans="1:71">
      <c r="A33" s="222" t="s">
        <v>122</v>
      </c>
      <c r="B33" s="222" t="s">
        <v>123</v>
      </c>
      <c r="C33" s="223">
        <f t="shared" si="0"/>
        <v>0</v>
      </c>
      <c r="D33" s="224"/>
      <c r="E33" s="224"/>
      <c r="F33" s="225"/>
      <c r="G33" s="224"/>
      <c r="H33" s="224"/>
      <c r="I33" s="224"/>
      <c r="J33" s="224"/>
      <c r="K33" s="224"/>
      <c r="L33" s="224"/>
      <c r="M33" s="224"/>
      <c r="N33" s="224"/>
      <c r="O33" s="224"/>
      <c r="P33" s="224"/>
      <c r="Q33" s="224"/>
      <c r="R33" s="224"/>
      <c r="S33" s="226" t="str">
        <f t="shared" si="21"/>
        <v/>
      </c>
      <c r="T33" s="28"/>
      <c r="U33" s="227"/>
      <c r="V33" s="218"/>
      <c r="W33" s="218"/>
      <c r="X33" s="229">
        <f t="shared" si="1"/>
        <v>0</v>
      </c>
      <c r="Y33" s="218"/>
      <c r="Z33" s="214" t="str">
        <f t="shared" si="2"/>
        <v>zzRecipe: stadio : inserted values</v>
      </c>
      <c r="AA33" s="16">
        <v>25</v>
      </c>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230" t="str">
        <f t="shared" si="3"/>
        <v>zzRecipe: Stage: : inserted values</v>
      </c>
      <c r="BB33" s="211">
        <f t="shared" si="5"/>
        <v>0</v>
      </c>
      <c r="BC33" s="211">
        <f t="shared" si="6"/>
        <v>0</v>
      </c>
      <c r="BD33" s="231">
        <f t="shared" si="7"/>
        <v>0</v>
      </c>
      <c r="BE33" s="231">
        <f t="shared" si="8"/>
        <v>0</v>
      </c>
      <c r="BF33" s="231">
        <f t="shared" si="9"/>
        <v>0</v>
      </c>
      <c r="BG33" s="231">
        <f t="shared" si="10"/>
        <v>0</v>
      </c>
      <c r="BH33" s="231">
        <f t="shared" si="11"/>
        <v>0</v>
      </c>
      <c r="BI33" s="231">
        <f t="shared" si="12"/>
        <v>0</v>
      </c>
      <c r="BJ33" s="231">
        <f t="shared" si="13"/>
        <v>0</v>
      </c>
      <c r="BK33" s="231">
        <f t="shared" si="14"/>
        <v>0</v>
      </c>
      <c r="BL33" s="211">
        <f t="shared" si="15"/>
        <v>0</v>
      </c>
      <c r="BM33" s="211">
        <f t="shared" si="16"/>
        <v>0</v>
      </c>
      <c r="BN33" s="211">
        <f t="shared" si="17"/>
        <v>0</v>
      </c>
      <c r="BO33" s="211">
        <f t="shared" si="18"/>
        <v>0</v>
      </c>
      <c r="BP33" s="211">
        <f t="shared" si="19"/>
        <v>0</v>
      </c>
      <c r="BQ33" s="211">
        <f t="shared" si="20"/>
        <v>0</v>
      </c>
      <c r="BR33" s="13"/>
      <c r="BS33" s="13"/>
    </row>
    <row r="34" spans="1:71">
      <c r="A34" s="222" t="s">
        <v>122</v>
      </c>
      <c r="B34" s="222" t="s">
        <v>123</v>
      </c>
      <c r="C34" s="223">
        <f t="shared" si="0"/>
        <v>0</v>
      </c>
      <c r="D34" s="224"/>
      <c r="E34" s="224"/>
      <c r="F34" s="225"/>
      <c r="G34" s="224"/>
      <c r="H34" s="224"/>
      <c r="I34" s="224"/>
      <c r="J34" s="224"/>
      <c r="K34" s="224"/>
      <c r="L34" s="224"/>
      <c r="M34" s="224"/>
      <c r="N34" s="224"/>
      <c r="O34" s="224"/>
      <c r="P34" s="224"/>
      <c r="Q34" s="224"/>
      <c r="R34" s="224"/>
      <c r="S34" s="226" t="str">
        <f t="shared" si="21"/>
        <v/>
      </c>
      <c r="T34" s="28"/>
      <c r="U34" s="227"/>
      <c r="V34" s="218"/>
      <c r="W34" s="218"/>
      <c r="X34" s="229">
        <f t="shared" si="1"/>
        <v>0</v>
      </c>
      <c r="Y34" s="218"/>
      <c r="Z34" s="214" t="str">
        <f t="shared" si="2"/>
        <v>zzRecipe: stadio : inserted values</v>
      </c>
      <c r="AA34" s="16">
        <v>26</v>
      </c>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230" t="str">
        <f t="shared" si="3"/>
        <v>zzRecipe: Stage: : inserted values</v>
      </c>
      <c r="BB34" s="211">
        <f t="shared" si="5"/>
        <v>0</v>
      </c>
      <c r="BC34" s="211">
        <f t="shared" si="6"/>
        <v>0</v>
      </c>
      <c r="BD34" s="231">
        <f t="shared" si="7"/>
        <v>0</v>
      </c>
      <c r="BE34" s="231">
        <f t="shared" si="8"/>
        <v>0</v>
      </c>
      <c r="BF34" s="231">
        <f t="shared" si="9"/>
        <v>0</v>
      </c>
      <c r="BG34" s="231">
        <f t="shared" si="10"/>
        <v>0</v>
      </c>
      <c r="BH34" s="231">
        <f t="shared" si="11"/>
        <v>0</v>
      </c>
      <c r="BI34" s="231">
        <f t="shared" si="12"/>
        <v>0</v>
      </c>
      <c r="BJ34" s="231">
        <f t="shared" si="13"/>
        <v>0</v>
      </c>
      <c r="BK34" s="231">
        <f t="shared" si="14"/>
        <v>0</v>
      </c>
      <c r="BL34" s="211">
        <f t="shared" si="15"/>
        <v>0</v>
      </c>
      <c r="BM34" s="211">
        <f t="shared" si="16"/>
        <v>0</v>
      </c>
      <c r="BN34" s="211">
        <f t="shared" si="17"/>
        <v>0</v>
      </c>
      <c r="BO34" s="211">
        <f t="shared" si="18"/>
        <v>0</v>
      </c>
      <c r="BP34" s="211">
        <f t="shared" si="19"/>
        <v>0</v>
      </c>
      <c r="BQ34" s="211">
        <f t="shared" si="20"/>
        <v>0</v>
      </c>
      <c r="BR34" s="13"/>
      <c r="BS34" s="13"/>
    </row>
    <row r="35" spans="1:71">
      <c r="A35" s="222" t="s">
        <v>122</v>
      </c>
      <c r="B35" s="222" t="s">
        <v>123</v>
      </c>
      <c r="C35" s="223">
        <f t="shared" si="0"/>
        <v>0</v>
      </c>
      <c r="D35" s="224"/>
      <c r="E35" s="224"/>
      <c r="F35" s="225"/>
      <c r="G35" s="224"/>
      <c r="H35" s="224"/>
      <c r="I35" s="224"/>
      <c r="J35" s="224"/>
      <c r="K35" s="224"/>
      <c r="L35" s="224"/>
      <c r="M35" s="224"/>
      <c r="N35" s="224"/>
      <c r="O35" s="224"/>
      <c r="P35" s="224"/>
      <c r="Q35" s="224"/>
      <c r="R35" s="224"/>
      <c r="S35" s="226" t="str">
        <f t="shared" si="21"/>
        <v/>
      </c>
      <c r="T35" s="28"/>
      <c r="U35" s="227"/>
      <c r="V35" s="218"/>
      <c r="W35" s="218"/>
      <c r="X35" s="229">
        <f t="shared" si="1"/>
        <v>0</v>
      </c>
      <c r="Y35" s="218"/>
      <c r="Z35" s="214" t="str">
        <f t="shared" si="2"/>
        <v>zzRecipe: stadio : inserted values</v>
      </c>
      <c r="AA35" s="16">
        <v>27</v>
      </c>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230" t="str">
        <f t="shared" si="3"/>
        <v>zzRecipe: Stage: : inserted values</v>
      </c>
      <c r="BB35" s="211">
        <f t="shared" si="5"/>
        <v>0</v>
      </c>
      <c r="BC35" s="211">
        <f t="shared" si="6"/>
        <v>0</v>
      </c>
      <c r="BD35" s="231">
        <f t="shared" si="7"/>
        <v>0</v>
      </c>
      <c r="BE35" s="231">
        <f t="shared" si="8"/>
        <v>0</v>
      </c>
      <c r="BF35" s="231">
        <f t="shared" si="9"/>
        <v>0</v>
      </c>
      <c r="BG35" s="231">
        <f t="shared" si="10"/>
        <v>0</v>
      </c>
      <c r="BH35" s="231">
        <f t="shared" si="11"/>
        <v>0</v>
      </c>
      <c r="BI35" s="231">
        <f t="shared" si="12"/>
        <v>0</v>
      </c>
      <c r="BJ35" s="231">
        <f t="shared" si="13"/>
        <v>0</v>
      </c>
      <c r="BK35" s="231">
        <f t="shared" si="14"/>
        <v>0</v>
      </c>
      <c r="BL35" s="211">
        <f t="shared" si="15"/>
        <v>0</v>
      </c>
      <c r="BM35" s="211">
        <f t="shared" si="16"/>
        <v>0</v>
      </c>
      <c r="BN35" s="211">
        <f t="shared" si="17"/>
        <v>0</v>
      </c>
      <c r="BO35" s="211">
        <f t="shared" si="18"/>
        <v>0</v>
      </c>
      <c r="BP35" s="211">
        <f t="shared" si="19"/>
        <v>0</v>
      </c>
      <c r="BQ35" s="211">
        <f t="shared" si="20"/>
        <v>0</v>
      </c>
      <c r="BR35" s="13"/>
      <c r="BS35" s="13"/>
    </row>
    <row r="36" spans="1:71">
      <c r="A36" s="222" t="s">
        <v>122</v>
      </c>
      <c r="B36" s="222" t="s">
        <v>123</v>
      </c>
      <c r="C36" s="223">
        <f t="shared" si="0"/>
        <v>0</v>
      </c>
      <c r="D36" s="224"/>
      <c r="E36" s="224"/>
      <c r="F36" s="225"/>
      <c r="G36" s="224"/>
      <c r="H36" s="224"/>
      <c r="I36" s="224"/>
      <c r="J36" s="224"/>
      <c r="K36" s="224"/>
      <c r="L36" s="224"/>
      <c r="M36" s="224"/>
      <c r="N36" s="224"/>
      <c r="O36" s="224"/>
      <c r="P36" s="224"/>
      <c r="Q36" s="224"/>
      <c r="R36" s="224"/>
      <c r="S36" s="226" t="str">
        <f t="shared" si="21"/>
        <v/>
      </c>
      <c r="T36" s="28"/>
      <c r="U36" s="227"/>
      <c r="V36" s="218"/>
      <c r="W36" s="218"/>
      <c r="X36" s="229">
        <f t="shared" si="1"/>
        <v>0</v>
      </c>
      <c r="Y36" s="218"/>
      <c r="Z36" s="214" t="str">
        <f t="shared" si="2"/>
        <v>zzRecipe: stadio : inserted values</v>
      </c>
      <c r="AA36" s="16">
        <v>28</v>
      </c>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230" t="str">
        <f t="shared" si="3"/>
        <v>zzRecipe: Stage: : inserted values</v>
      </c>
      <c r="BB36" s="211">
        <f t="shared" si="5"/>
        <v>0</v>
      </c>
      <c r="BC36" s="211">
        <f t="shared" si="6"/>
        <v>0</v>
      </c>
      <c r="BD36" s="231">
        <f t="shared" si="7"/>
        <v>0</v>
      </c>
      <c r="BE36" s="231">
        <f t="shared" si="8"/>
        <v>0</v>
      </c>
      <c r="BF36" s="231">
        <f t="shared" si="9"/>
        <v>0</v>
      </c>
      <c r="BG36" s="231">
        <f t="shared" si="10"/>
        <v>0</v>
      </c>
      <c r="BH36" s="231">
        <f t="shared" si="11"/>
        <v>0</v>
      </c>
      <c r="BI36" s="231">
        <f t="shared" si="12"/>
        <v>0</v>
      </c>
      <c r="BJ36" s="231">
        <f t="shared" si="13"/>
        <v>0</v>
      </c>
      <c r="BK36" s="231">
        <f t="shared" si="14"/>
        <v>0</v>
      </c>
      <c r="BL36" s="211">
        <f t="shared" si="15"/>
        <v>0</v>
      </c>
      <c r="BM36" s="211">
        <f t="shared" si="16"/>
        <v>0</v>
      </c>
      <c r="BN36" s="211">
        <f t="shared" si="17"/>
        <v>0</v>
      </c>
      <c r="BO36" s="211">
        <f t="shared" si="18"/>
        <v>0</v>
      </c>
      <c r="BP36" s="211">
        <f t="shared" si="19"/>
        <v>0</v>
      </c>
      <c r="BQ36" s="211">
        <f t="shared" si="20"/>
        <v>0</v>
      </c>
      <c r="BR36" s="13"/>
      <c r="BS36" s="13"/>
    </row>
    <row r="37" spans="1:71">
      <c r="A37" s="222" t="s">
        <v>122</v>
      </c>
      <c r="B37" s="222" t="s">
        <v>123</v>
      </c>
      <c r="C37" s="223">
        <f t="shared" si="0"/>
        <v>0</v>
      </c>
      <c r="D37" s="224"/>
      <c r="E37" s="224"/>
      <c r="F37" s="225"/>
      <c r="G37" s="224"/>
      <c r="H37" s="224"/>
      <c r="I37" s="224"/>
      <c r="J37" s="224"/>
      <c r="K37" s="224"/>
      <c r="L37" s="224"/>
      <c r="M37" s="224"/>
      <c r="N37" s="224"/>
      <c r="O37" s="224"/>
      <c r="P37" s="224"/>
      <c r="Q37" s="224"/>
      <c r="R37" s="224"/>
      <c r="S37" s="226" t="str">
        <f t="shared" si="21"/>
        <v/>
      </c>
      <c r="T37" s="28"/>
      <c r="U37" s="227"/>
      <c r="V37" s="218"/>
      <c r="W37" s="218"/>
      <c r="X37" s="229">
        <f t="shared" si="1"/>
        <v>0</v>
      </c>
      <c r="Y37" s="218"/>
      <c r="Z37" s="214" t="str">
        <f t="shared" si="2"/>
        <v>zzRecipe: stadio : inserted values</v>
      </c>
      <c r="AA37" s="16">
        <v>29</v>
      </c>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230" t="str">
        <f t="shared" si="3"/>
        <v>zzRecipe: Stage: : inserted values</v>
      </c>
      <c r="BB37" s="211">
        <f t="shared" si="5"/>
        <v>0</v>
      </c>
      <c r="BC37" s="211">
        <f t="shared" si="6"/>
        <v>0</v>
      </c>
      <c r="BD37" s="231">
        <f t="shared" si="7"/>
        <v>0</v>
      </c>
      <c r="BE37" s="231">
        <f t="shared" si="8"/>
        <v>0</v>
      </c>
      <c r="BF37" s="231">
        <f t="shared" si="9"/>
        <v>0</v>
      </c>
      <c r="BG37" s="231">
        <f t="shared" si="10"/>
        <v>0</v>
      </c>
      <c r="BH37" s="231">
        <f t="shared" si="11"/>
        <v>0</v>
      </c>
      <c r="BI37" s="231">
        <f t="shared" si="12"/>
        <v>0</v>
      </c>
      <c r="BJ37" s="231">
        <f t="shared" si="13"/>
        <v>0</v>
      </c>
      <c r="BK37" s="231">
        <f t="shared" si="14"/>
        <v>0</v>
      </c>
      <c r="BL37" s="211">
        <f t="shared" si="15"/>
        <v>0</v>
      </c>
      <c r="BM37" s="211">
        <f t="shared" si="16"/>
        <v>0</v>
      </c>
      <c r="BN37" s="211">
        <f t="shared" si="17"/>
        <v>0</v>
      </c>
      <c r="BO37" s="211">
        <f t="shared" si="18"/>
        <v>0</v>
      </c>
      <c r="BP37" s="211">
        <f t="shared" si="19"/>
        <v>0</v>
      </c>
      <c r="BQ37" s="211">
        <f t="shared" si="20"/>
        <v>0</v>
      </c>
      <c r="BR37" s="13"/>
      <c r="BS37" s="13"/>
    </row>
    <row r="38" spans="1:71">
      <c r="A38" s="222" t="s">
        <v>122</v>
      </c>
      <c r="B38" s="222" t="s">
        <v>123</v>
      </c>
      <c r="C38" s="223">
        <f t="shared" si="0"/>
        <v>0</v>
      </c>
      <c r="D38" s="224"/>
      <c r="E38" s="224"/>
      <c r="F38" s="225"/>
      <c r="G38" s="224"/>
      <c r="H38" s="224"/>
      <c r="I38" s="224"/>
      <c r="J38" s="224"/>
      <c r="K38" s="224"/>
      <c r="L38" s="224"/>
      <c r="M38" s="224"/>
      <c r="N38" s="224"/>
      <c r="O38" s="224"/>
      <c r="P38" s="224"/>
      <c r="Q38" s="224"/>
      <c r="R38" s="224"/>
      <c r="S38" s="226" t="str">
        <f t="shared" si="21"/>
        <v/>
      </c>
      <c r="T38" s="28"/>
      <c r="U38" s="227"/>
      <c r="V38" s="218"/>
      <c r="W38" s="218"/>
      <c r="X38" s="229">
        <f t="shared" si="1"/>
        <v>0</v>
      </c>
      <c r="Y38" s="218"/>
      <c r="Z38" s="214" t="str">
        <f t="shared" si="2"/>
        <v>zzRecipe: stadio : inserted values</v>
      </c>
      <c r="AA38" s="16">
        <v>30</v>
      </c>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230" t="str">
        <f t="shared" si="3"/>
        <v>zzRecipe: Stage: : inserted values</v>
      </c>
      <c r="BB38" s="211">
        <f t="shared" si="5"/>
        <v>0</v>
      </c>
      <c r="BC38" s="211">
        <f t="shared" si="6"/>
        <v>0</v>
      </c>
      <c r="BD38" s="231">
        <f t="shared" si="7"/>
        <v>0</v>
      </c>
      <c r="BE38" s="231">
        <f t="shared" si="8"/>
        <v>0</v>
      </c>
      <c r="BF38" s="231">
        <f t="shared" si="9"/>
        <v>0</v>
      </c>
      <c r="BG38" s="231">
        <f t="shared" si="10"/>
        <v>0</v>
      </c>
      <c r="BH38" s="231">
        <f t="shared" si="11"/>
        <v>0</v>
      </c>
      <c r="BI38" s="231">
        <f t="shared" si="12"/>
        <v>0</v>
      </c>
      <c r="BJ38" s="231">
        <f t="shared" si="13"/>
        <v>0</v>
      </c>
      <c r="BK38" s="231">
        <f t="shared" si="14"/>
        <v>0</v>
      </c>
      <c r="BL38" s="211">
        <f t="shared" si="15"/>
        <v>0</v>
      </c>
      <c r="BM38" s="211">
        <f t="shared" si="16"/>
        <v>0</v>
      </c>
      <c r="BN38" s="211">
        <f t="shared" si="17"/>
        <v>0</v>
      </c>
      <c r="BO38" s="211">
        <f t="shared" si="18"/>
        <v>0</v>
      </c>
      <c r="BP38" s="211">
        <f t="shared" si="19"/>
        <v>0</v>
      </c>
      <c r="BQ38" s="211">
        <f t="shared" si="20"/>
        <v>0</v>
      </c>
      <c r="BR38" s="13"/>
      <c r="BS38" s="13"/>
    </row>
    <row r="39" spans="1:71">
      <c r="A39" s="222" t="s">
        <v>122</v>
      </c>
      <c r="B39" s="222" t="s">
        <v>123</v>
      </c>
      <c r="C39" s="223">
        <f t="shared" si="0"/>
        <v>0</v>
      </c>
      <c r="D39" s="224"/>
      <c r="E39" s="224"/>
      <c r="F39" s="225"/>
      <c r="G39" s="224"/>
      <c r="H39" s="224"/>
      <c r="I39" s="224"/>
      <c r="J39" s="224"/>
      <c r="K39" s="224"/>
      <c r="L39" s="224"/>
      <c r="M39" s="224"/>
      <c r="N39" s="224"/>
      <c r="O39" s="224"/>
      <c r="P39" s="224"/>
      <c r="Q39" s="224"/>
      <c r="R39" s="224"/>
      <c r="S39" s="226" t="str">
        <f t="shared" si="21"/>
        <v/>
      </c>
      <c r="T39" s="28"/>
      <c r="U39" s="227"/>
      <c r="V39" s="218"/>
      <c r="W39" s="218"/>
      <c r="X39" s="229">
        <f t="shared" si="1"/>
        <v>0</v>
      </c>
      <c r="Y39" s="218"/>
      <c r="Z39" s="214" t="str">
        <f t="shared" si="2"/>
        <v>zzRecipe: stadio : inserted values</v>
      </c>
      <c r="AA39" s="16">
        <v>31</v>
      </c>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230" t="str">
        <f t="shared" si="3"/>
        <v>zzRecipe: Stage: : inserted values</v>
      </c>
      <c r="BB39" s="211">
        <f t="shared" si="5"/>
        <v>0</v>
      </c>
      <c r="BC39" s="211">
        <f t="shared" si="6"/>
        <v>0</v>
      </c>
      <c r="BD39" s="231">
        <f t="shared" si="7"/>
        <v>0</v>
      </c>
      <c r="BE39" s="231">
        <f t="shared" si="8"/>
        <v>0</v>
      </c>
      <c r="BF39" s="231">
        <f t="shared" si="9"/>
        <v>0</v>
      </c>
      <c r="BG39" s="231">
        <f t="shared" si="10"/>
        <v>0</v>
      </c>
      <c r="BH39" s="231">
        <f t="shared" si="11"/>
        <v>0</v>
      </c>
      <c r="BI39" s="231">
        <f t="shared" si="12"/>
        <v>0</v>
      </c>
      <c r="BJ39" s="231">
        <f t="shared" si="13"/>
        <v>0</v>
      </c>
      <c r="BK39" s="231">
        <f t="shared" si="14"/>
        <v>0</v>
      </c>
      <c r="BL39" s="211">
        <f t="shared" si="15"/>
        <v>0</v>
      </c>
      <c r="BM39" s="211">
        <f t="shared" si="16"/>
        <v>0</v>
      </c>
      <c r="BN39" s="211">
        <f t="shared" si="17"/>
        <v>0</v>
      </c>
      <c r="BO39" s="211">
        <f t="shared" si="18"/>
        <v>0</v>
      </c>
      <c r="BP39" s="211">
        <f t="shared" si="19"/>
        <v>0</v>
      </c>
      <c r="BQ39" s="211">
        <f t="shared" si="20"/>
        <v>0</v>
      </c>
      <c r="BR39" s="13"/>
      <c r="BS39" s="13"/>
    </row>
    <row r="40" spans="1:71">
      <c r="A40" s="222" t="s">
        <v>122</v>
      </c>
      <c r="B40" s="222" t="s">
        <v>123</v>
      </c>
      <c r="C40" s="223">
        <f t="shared" si="0"/>
        <v>0</v>
      </c>
      <c r="D40" s="224"/>
      <c r="E40" s="224"/>
      <c r="F40" s="225"/>
      <c r="G40" s="224"/>
      <c r="H40" s="224"/>
      <c r="I40" s="224"/>
      <c r="J40" s="224"/>
      <c r="K40" s="224"/>
      <c r="L40" s="224"/>
      <c r="M40" s="224"/>
      <c r="N40" s="224"/>
      <c r="O40" s="224"/>
      <c r="P40" s="224"/>
      <c r="Q40" s="224"/>
      <c r="R40" s="224"/>
      <c r="S40" s="226" t="str">
        <f t="shared" si="21"/>
        <v/>
      </c>
      <c r="T40" s="28"/>
      <c r="U40" s="227"/>
      <c r="V40" s="218"/>
      <c r="W40" s="218"/>
      <c r="X40" s="229">
        <f t="shared" si="1"/>
        <v>0</v>
      </c>
      <c r="Y40" s="218"/>
      <c r="Z40" s="214" t="str">
        <f t="shared" si="2"/>
        <v>zzRecipe: stadio : inserted values</v>
      </c>
      <c r="AA40" s="16">
        <v>32</v>
      </c>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230" t="str">
        <f t="shared" si="3"/>
        <v>zzRecipe: Stage: : inserted values</v>
      </c>
      <c r="BB40" s="211">
        <f t="shared" si="5"/>
        <v>0</v>
      </c>
      <c r="BC40" s="211">
        <f t="shared" si="6"/>
        <v>0</v>
      </c>
      <c r="BD40" s="231">
        <f t="shared" si="7"/>
        <v>0</v>
      </c>
      <c r="BE40" s="231">
        <f t="shared" si="8"/>
        <v>0</v>
      </c>
      <c r="BF40" s="231">
        <f t="shared" si="9"/>
        <v>0</v>
      </c>
      <c r="BG40" s="231">
        <f t="shared" si="10"/>
        <v>0</v>
      </c>
      <c r="BH40" s="231">
        <f t="shared" si="11"/>
        <v>0</v>
      </c>
      <c r="BI40" s="231">
        <f t="shared" si="12"/>
        <v>0</v>
      </c>
      <c r="BJ40" s="231">
        <f t="shared" si="13"/>
        <v>0</v>
      </c>
      <c r="BK40" s="231">
        <f t="shared" si="14"/>
        <v>0</v>
      </c>
      <c r="BL40" s="211">
        <f t="shared" si="15"/>
        <v>0</v>
      </c>
      <c r="BM40" s="211">
        <f t="shared" si="16"/>
        <v>0</v>
      </c>
      <c r="BN40" s="211">
        <f t="shared" si="17"/>
        <v>0</v>
      </c>
      <c r="BO40" s="211">
        <f t="shared" si="18"/>
        <v>0</v>
      </c>
      <c r="BP40" s="211">
        <f t="shared" si="19"/>
        <v>0</v>
      </c>
      <c r="BQ40" s="211">
        <f t="shared" si="20"/>
        <v>0</v>
      </c>
      <c r="BR40" s="13"/>
      <c r="BS40" s="13"/>
    </row>
    <row r="41" spans="1:71">
      <c r="A41" s="222" t="s">
        <v>122</v>
      </c>
      <c r="B41" s="222" t="s">
        <v>123</v>
      </c>
      <c r="C41" s="223">
        <f t="shared" ref="C41:C58" si="22">IF((G41+H41*2+I41*2+E41+J41)&gt;0,(0.095*(G41+H41*2+I41*2+E41+J41)+0.19),0)</f>
        <v>0</v>
      </c>
      <c r="D41" s="224"/>
      <c r="E41" s="224"/>
      <c r="F41" s="225"/>
      <c r="G41" s="224"/>
      <c r="H41" s="224"/>
      <c r="I41" s="224"/>
      <c r="J41" s="224"/>
      <c r="K41" s="224"/>
      <c r="L41" s="224"/>
      <c r="M41" s="224"/>
      <c r="N41" s="224"/>
      <c r="O41" s="224"/>
      <c r="P41" s="224"/>
      <c r="Q41" s="224"/>
      <c r="R41" s="224"/>
      <c r="S41" s="226" t="str">
        <f t="shared" si="21"/>
        <v/>
      </c>
      <c r="T41" s="28"/>
      <c r="U41" s="227"/>
      <c r="V41" s="218"/>
      <c r="W41" s="218"/>
      <c r="X41" s="229">
        <f t="shared" ref="X41:X58" si="23">(E41+G41+H41*2+I41*2+J41)-(D41+F41+K41*2+L41)</f>
        <v>0</v>
      </c>
      <c r="Y41" s="218"/>
      <c r="Z41" s="214" t="str">
        <f t="shared" ref="Z41:Z58" si="24">A41&amp;": stadio "&amp;B41</f>
        <v>zzRecipe: stadio : inserted values</v>
      </c>
      <c r="AA41" s="16">
        <v>33</v>
      </c>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230" t="str">
        <f t="shared" ref="BA41:BA58" si="25">A41&amp;": Stage: "&amp;B41</f>
        <v>zzRecipe: Stage: : inserted values</v>
      </c>
      <c r="BB41" s="211">
        <f t="shared" si="5"/>
        <v>0</v>
      </c>
      <c r="BC41" s="211">
        <f t="shared" si="6"/>
        <v>0</v>
      </c>
      <c r="BD41" s="231">
        <f t="shared" si="7"/>
        <v>0</v>
      </c>
      <c r="BE41" s="231">
        <f t="shared" si="8"/>
        <v>0</v>
      </c>
      <c r="BF41" s="231">
        <f t="shared" si="9"/>
        <v>0</v>
      </c>
      <c r="BG41" s="231">
        <f t="shared" si="10"/>
        <v>0</v>
      </c>
      <c r="BH41" s="231">
        <f t="shared" si="11"/>
        <v>0</v>
      </c>
      <c r="BI41" s="231">
        <f t="shared" si="12"/>
        <v>0</v>
      </c>
      <c r="BJ41" s="231">
        <f t="shared" si="13"/>
        <v>0</v>
      </c>
      <c r="BK41" s="231">
        <f t="shared" si="14"/>
        <v>0</v>
      </c>
      <c r="BL41" s="211">
        <f t="shared" si="15"/>
        <v>0</v>
      </c>
      <c r="BM41" s="211">
        <f t="shared" si="16"/>
        <v>0</v>
      </c>
      <c r="BN41" s="211">
        <f t="shared" si="17"/>
        <v>0</v>
      </c>
      <c r="BO41" s="211">
        <f t="shared" si="18"/>
        <v>0</v>
      </c>
      <c r="BP41" s="211">
        <f t="shared" si="19"/>
        <v>0</v>
      </c>
      <c r="BQ41" s="211">
        <f t="shared" si="20"/>
        <v>0</v>
      </c>
      <c r="BR41" s="13"/>
      <c r="BS41" s="13"/>
    </row>
    <row r="42" spans="1:71">
      <c r="A42" s="222" t="s">
        <v>122</v>
      </c>
      <c r="B42" s="222" t="s">
        <v>123</v>
      </c>
      <c r="C42" s="223">
        <f t="shared" si="22"/>
        <v>0</v>
      </c>
      <c r="D42" s="224"/>
      <c r="E42" s="224"/>
      <c r="F42" s="225"/>
      <c r="G42" s="224"/>
      <c r="H42" s="224"/>
      <c r="I42" s="224"/>
      <c r="J42" s="224"/>
      <c r="K42" s="224"/>
      <c r="L42" s="224"/>
      <c r="M42" s="224"/>
      <c r="N42" s="224"/>
      <c r="O42" s="224"/>
      <c r="P42" s="224"/>
      <c r="Q42" s="224"/>
      <c r="R42" s="224"/>
      <c r="S42" s="226" t="str">
        <f t="shared" si="21"/>
        <v/>
      </c>
      <c r="T42" s="28"/>
      <c r="U42" s="227"/>
      <c r="V42" s="218"/>
      <c r="W42" s="218"/>
      <c r="X42" s="229">
        <f t="shared" si="23"/>
        <v>0</v>
      </c>
      <c r="Y42" s="218"/>
      <c r="Z42" s="214" t="str">
        <f t="shared" si="24"/>
        <v>zzRecipe: stadio : inserted values</v>
      </c>
      <c r="AA42" s="16">
        <v>34</v>
      </c>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230" t="str">
        <f t="shared" si="25"/>
        <v>zzRecipe: Stage: : inserted values</v>
      </c>
      <c r="BB42" s="211">
        <f t="shared" si="5"/>
        <v>0</v>
      </c>
      <c r="BC42" s="211">
        <f t="shared" si="6"/>
        <v>0</v>
      </c>
      <c r="BD42" s="231">
        <f t="shared" si="7"/>
        <v>0</v>
      </c>
      <c r="BE42" s="231">
        <f t="shared" si="8"/>
        <v>0</v>
      </c>
      <c r="BF42" s="231">
        <f t="shared" si="9"/>
        <v>0</v>
      </c>
      <c r="BG42" s="231">
        <f t="shared" si="10"/>
        <v>0</v>
      </c>
      <c r="BH42" s="231">
        <f t="shared" si="11"/>
        <v>0</v>
      </c>
      <c r="BI42" s="231">
        <f t="shared" si="12"/>
        <v>0</v>
      </c>
      <c r="BJ42" s="231">
        <f t="shared" si="13"/>
        <v>0</v>
      </c>
      <c r="BK42" s="231">
        <f t="shared" si="14"/>
        <v>0</v>
      </c>
      <c r="BL42" s="211">
        <f t="shared" si="15"/>
        <v>0</v>
      </c>
      <c r="BM42" s="211">
        <f t="shared" si="16"/>
        <v>0</v>
      </c>
      <c r="BN42" s="211">
        <f t="shared" si="17"/>
        <v>0</v>
      </c>
      <c r="BO42" s="211">
        <f t="shared" si="18"/>
        <v>0</v>
      </c>
      <c r="BP42" s="211">
        <f t="shared" si="19"/>
        <v>0</v>
      </c>
      <c r="BQ42" s="211">
        <f t="shared" si="20"/>
        <v>0</v>
      </c>
      <c r="BR42" s="13"/>
      <c r="BS42" s="13"/>
    </row>
    <row r="43" spans="1:71">
      <c r="A43" s="222" t="s">
        <v>122</v>
      </c>
      <c r="B43" s="222" t="s">
        <v>123</v>
      </c>
      <c r="C43" s="223">
        <f t="shared" si="22"/>
        <v>0</v>
      </c>
      <c r="D43" s="224"/>
      <c r="E43" s="224"/>
      <c r="F43" s="225"/>
      <c r="G43" s="224"/>
      <c r="H43" s="224"/>
      <c r="I43" s="224"/>
      <c r="J43" s="224"/>
      <c r="K43" s="224"/>
      <c r="L43" s="224"/>
      <c r="M43" s="224"/>
      <c r="N43" s="224"/>
      <c r="O43" s="224"/>
      <c r="P43" s="224"/>
      <c r="Q43" s="224"/>
      <c r="R43" s="224"/>
      <c r="S43" s="226" t="str">
        <f t="shared" si="21"/>
        <v/>
      </c>
      <c r="T43" s="28"/>
      <c r="U43" s="227"/>
      <c r="V43" s="218"/>
      <c r="W43" s="218"/>
      <c r="X43" s="229">
        <f t="shared" si="23"/>
        <v>0</v>
      </c>
      <c r="Y43" s="218"/>
      <c r="Z43" s="214" t="str">
        <f t="shared" si="24"/>
        <v>zzRecipe: stadio : inserted values</v>
      </c>
      <c r="AA43" s="16">
        <v>35</v>
      </c>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230" t="str">
        <f t="shared" si="25"/>
        <v>zzRecipe: Stage: : inserted values</v>
      </c>
      <c r="BB43" s="211">
        <f t="shared" si="5"/>
        <v>0</v>
      </c>
      <c r="BC43" s="211">
        <f t="shared" si="6"/>
        <v>0</v>
      </c>
      <c r="BD43" s="231">
        <f t="shared" si="7"/>
        <v>0</v>
      </c>
      <c r="BE43" s="231">
        <f t="shared" si="8"/>
        <v>0</v>
      </c>
      <c r="BF43" s="231">
        <f t="shared" si="9"/>
        <v>0</v>
      </c>
      <c r="BG43" s="231">
        <f t="shared" si="10"/>
        <v>0</v>
      </c>
      <c r="BH43" s="231">
        <f t="shared" si="11"/>
        <v>0</v>
      </c>
      <c r="BI43" s="231">
        <f t="shared" si="12"/>
        <v>0</v>
      </c>
      <c r="BJ43" s="231">
        <f t="shared" si="13"/>
        <v>0</v>
      </c>
      <c r="BK43" s="231">
        <f t="shared" si="14"/>
        <v>0</v>
      </c>
      <c r="BL43" s="211">
        <f t="shared" si="15"/>
        <v>0</v>
      </c>
      <c r="BM43" s="211">
        <f t="shared" si="16"/>
        <v>0</v>
      </c>
      <c r="BN43" s="211">
        <f t="shared" si="17"/>
        <v>0</v>
      </c>
      <c r="BO43" s="211">
        <f t="shared" si="18"/>
        <v>0</v>
      </c>
      <c r="BP43" s="211">
        <f t="shared" si="19"/>
        <v>0</v>
      </c>
      <c r="BQ43" s="211">
        <f t="shared" si="20"/>
        <v>0</v>
      </c>
      <c r="BR43" s="13"/>
      <c r="BS43" s="13"/>
    </row>
    <row r="44" spans="1:71">
      <c r="A44" s="222" t="s">
        <v>122</v>
      </c>
      <c r="B44" s="222" t="s">
        <v>123</v>
      </c>
      <c r="C44" s="223">
        <f t="shared" si="22"/>
        <v>0</v>
      </c>
      <c r="D44" s="224"/>
      <c r="E44" s="224"/>
      <c r="F44" s="225"/>
      <c r="G44" s="224"/>
      <c r="H44" s="224"/>
      <c r="I44" s="224"/>
      <c r="J44" s="224"/>
      <c r="K44" s="224"/>
      <c r="L44" s="224"/>
      <c r="M44" s="224"/>
      <c r="N44" s="224"/>
      <c r="O44" s="224"/>
      <c r="P44" s="224"/>
      <c r="Q44" s="224"/>
      <c r="R44" s="224"/>
      <c r="S44" s="226" t="str">
        <f t="shared" si="21"/>
        <v/>
      </c>
      <c r="T44" s="28"/>
      <c r="U44" s="227"/>
      <c r="V44" s="218"/>
      <c r="W44" s="218"/>
      <c r="X44" s="229">
        <f t="shared" si="23"/>
        <v>0</v>
      </c>
      <c r="Y44" s="218"/>
      <c r="Z44" s="214" t="str">
        <f t="shared" si="24"/>
        <v>zzRecipe: stadio : inserted values</v>
      </c>
      <c r="AA44" s="16">
        <v>36</v>
      </c>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230" t="str">
        <f t="shared" si="25"/>
        <v>zzRecipe: Stage: : inserted values</v>
      </c>
      <c r="BB44" s="211">
        <f t="shared" si="5"/>
        <v>0</v>
      </c>
      <c r="BC44" s="211">
        <f t="shared" si="6"/>
        <v>0</v>
      </c>
      <c r="BD44" s="231">
        <f t="shared" si="7"/>
        <v>0</v>
      </c>
      <c r="BE44" s="231">
        <f t="shared" si="8"/>
        <v>0</v>
      </c>
      <c r="BF44" s="231">
        <f t="shared" si="9"/>
        <v>0</v>
      </c>
      <c r="BG44" s="231">
        <f t="shared" si="10"/>
        <v>0</v>
      </c>
      <c r="BH44" s="231">
        <f t="shared" si="11"/>
        <v>0</v>
      </c>
      <c r="BI44" s="231">
        <f t="shared" si="12"/>
        <v>0</v>
      </c>
      <c r="BJ44" s="231">
        <f t="shared" si="13"/>
        <v>0</v>
      </c>
      <c r="BK44" s="231">
        <f t="shared" si="14"/>
        <v>0</v>
      </c>
      <c r="BL44" s="211">
        <f t="shared" si="15"/>
        <v>0</v>
      </c>
      <c r="BM44" s="211">
        <f t="shared" si="16"/>
        <v>0</v>
      </c>
      <c r="BN44" s="211">
        <f t="shared" si="17"/>
        <v>0</v>
      </c>
      <c r="BO44" s="211">
        <f t="shared" si="18"/>
        <v>0</v>
      </c>
      <c r="BP44" s="211">
        <f t="shared" si="19"/>
        <v>0</v>
      </c>
      <c r="BQ44" s="211">
        <f t="shared" si="20"/>
        <v>0</v>
      </c>
      <c r="BR44" s="13"/>
      <c r="BS44" s="13"/>
    </row>
    <row r="45" spans="1:71">
      <c r="A45" s="222" t="s">
        <v>122</v>
      </c>
      <c r="B45" s="222" t="s">
        <v>123</v>
      </c>
      <c r="C45" s="223">
        <f t="shared" si="22"/>
        <v>0</v>
      </c>
      <c r="D45" s="224"/>
      <c r="E45" s="224"/>
      <c r="F45" s="225"/>
      <c r="G45" s="224"/>
      <c r="H45" s="224"/>
      <c r="I45" s="224"/>
      <c r="J45" s="224"/>
      <c r="K45" s="224"/>
      <c r="L45" s="224"/>
      <c r="M45" s="224"/>
      <c r="N45" s="224"/>
      <c r="O45" s="224"/>
      <c r="P45" s="224"/>
      <c r="Q45" s="224"/>
      <c r="R45" s="224"/>
      <c r="S45" s="226" t="str">
        <f t="shared" si="21"/>
        <v/>
      </c>
      <c r="T45" s="28"/>
      <c r="U45" s="227"/>
      <c r="V45" s="218"/>
      <c r="W45" s="218"/>
      <c r="X45" s="229">
        <f t="shared" si="23"/>
        <v>0</v>
      </c>
      <c r="Y45" s="218"/>
      <c r="Z45" s="214" t="str">
        <f t="shared" si="24"/>
        <v>zzRecipe: stadio : inserted values</v>
      </c>
      <c r="AA45" s="16">
        <v>37</v>
      </c>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230" t="str">
        <f t="shared" si="25"/>
        <v>zzRecipe: Stage: : inserted values</v>
      </c>
      <c r="BB45" s="211">
        <f t="shared" si="5"/>
        <v>0</v>
      </c>
      <c r="BC45" s="211">
        <f t="shared" si="6"/>
        <v>0</v>
      </c>
      <c r="BD45" s="231">
        <f t="shared" si="7"/>
        <v>0</v>
      </c>
      <c r="BE45" s="231">
        <f t="shared" si="8"/>
        <v>0</v>
      </c>
      <c r="BF45" s="231">
        <f t="shared" si="9"/>
        <v>0</v>
      </c>
      <c r="BG45" s="231">
        <f t="shared" si="10"/>
        <v>0</v>
      </c>
      <c r="BH45" s="231">
        <f t="shared" si="11"/>
        <v>0</v>
      </c>
      <c r="BI45" s="231">
        <f t="shared" si="12"/>
        <v>0</v>
      </c>
      <c r="BJ45" s="231">
        <f t="shared" si="13"/>
        <v>0</v>
      </c>
      <c r="BK45" s="231">
        <f t="shared" si="14"/>
        <v>0</v>
      </c>
      <c r="BL45" s="211">
        <f t="shared" si="15"/>
        <v>0</v>
      </c>
      <c r="BM45" s="211">
        <f t="shared" si="16"/>
        <v>0</v>
      </c>
      <c r="BN45" s="211">
        <f t="shared" si="17"/>
        <v>0</v>
      </c>
      <c r="BO45" s="211">
        <f t="shared" si="18"/>
        <v>0</v>
      </c>
      <c r="BP45" s="211">
        <f t="shared" si="19"/>
        <v>0</v>
      </c>
      <c r="BQ45" s="211">
        <f t="shared" si="20"/>
        <v>0</v>
      </c>
      <c r="BR45" s="13"/>
      <c r="BS45" s="13"/>
    </row>
    <row r="46" spans="1:71">
      <c r="A46" s="222" t="s">
        <v>122</v>
      </c>
      <c r="B46" s="222" t="s">
        <v>123</v>
      </c>
      <c r="C46" s="223">
        <f t="shared" si="22"/>
        <v>0</v>
      </c>
      <c r="D46" s="224"/>
      <c r="E46" s="224"/>
      <c r="F46" s="225"/>
      <c r="G46" s="224"/>
      <c r="H46" s="224"/>
      <c r="I46" s="224"/>
      <c r="J46" s="224"/>
      <c r="K46" s="224"/>
      <c r="L46" s="224"/>
      <c r="M46" s="224"/>
      <c r="N46" s="224"/>
      <c r="O46" s="224"/>
      <c r="P46" s="224"/>
      <c r="Q46" s="224"/>
      <c r="R46" s="224"/>
      <c r="S46" s="226" t="str">
        <f t="shared" si="21"/>
        <v/>
      </c>
      <c r="T46" s="28"/>
      <c r="U46" s="227"/>
      <c r="V46" s="218"/>
      <c r="W46" s="218"/>
      <c r="X46" s="229">
        <f t="shared" si="23"/>
        <v>0</v>
      </c>
      <c r="Y46" s="218"/>
      <c r="Z46" s="214" t="str">
        <f t="shared" si="24"/>
        <v>zzRecipe: stadio : inserted values</v>
      </c>
      <c r="AA46" s="16">
        <v>38</v>
      </c>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230" t="str">
        <f t="shared" si="25"/>
        <v>zzRecipe: Stage: : inserted values</v>
      </c>
      <c r="BB46" s="211">
        <f t="shared" si="5"/>
        <v>0</v>
      </c>
      <c r="BC46" s="211">
        <f t="shared" si="6"/>
        <v>0</v>
      </c>
      <c r="BD46" s="231">
        <f t="shared" si="7"/>
        <v>0</v>
      </c>
      <c r="BE46" s="231">
        <f t="shared" si="8"/>
        <v>0</v>
      </c>
      <c r="BF46" s="231">
        <f t="shared" si="9"/>
        <v>0</v>
      </c>
      <c r="BG46" s="231">
        <f t="shared" si="10"/>
        <v>0</v>
      </c>
      <c r="BH46" s="231">
        <f t="shared" si="11"/>
        <v>0</v>
      </c>
      <c r="BI46" s="231">
        <f t="shared" si="12"/>
        <v>0</v>
      </c>
      <c r="BJ46" s="231">
        <f t="shared" si="13"/>
        <v>0</v>
      </c>
      <c r="BK46" s="231">
        <f t="shared" si="14"/>
        <v>0</v>
      </c>
      <c r="BL46" s="211">
        <f t="shared" si="15"/>
        <v>0</v>
      </c>
      <c r="BM46" s="211">
        <f t="shared" si="16"/>
        <v>0</v>
      </c>
      <c r="BN46" s="211">
        <f t="shared" si="17"/>
        <v>0</v>
      </c>
      <c r="BO46" s="211">
        <f t="shared" si="18"/>
        <v>0</v>
      </c>
      <c r="BP46" s="211">
        <f t="shared" si="19"/>
        <v>0</v>
      </c>
      <c r="BQ46" s="211">
        <f t="shared" si="20"/>
        <v>0</v>
      </c>
      <c r="BR46" s="13"/>
      <c r="BS46" s="13"/>
    </row>
    <row r="47" spans="1:71">
      <c r="A47" s="222" t="s">
        <v>122</v>
      </c>
      <c r="B47" s="222" t="s">
        <v>123</v>
      </c>
      <c r="C47" s="223">
        <f t="shared" si="22"/>
        <v>0</v>
      </c>
      <c r="D47" s="224"/>
      <c r="E47" s="224"/>
      <c r="F47" s="225"/>
      <c r="G47" s="224"/>
      <c r="H47" s="224"/>
      <c r="I47" s="224"/>
      <c r="J47" s="224"/>
      <c r="K47" s="224"/>
      <c r="L47" s="224"/>
      <c r="M47" s="224"/>
      <c r="N47" s="224"/>
      <c r="O47" s="224"/>
      <c r="P47" s="224"/>
      <c r="Q47" s="224"/>
      <c r="R47" s="224"/>
      <c r="S47" s="226" t="str">
        <f t="shared" si="21"/>
        <v/>
      </c>
      <c r="T47" s="28"/>
      <c r="U47" s="227"/>
      <c r="V47" s="218"/>
      <c r="W47" s="218"/>
      <c r="X47" s="229">
        <f t="shared" si="23"/>
        <v>0</v>
      </c>
      <c r="Y47" s="218"/>
      <c r="Z47" s="214" t="str">
        <f t="shared" si="24"/>
        <v>zzRecipe: stadio : inserted values</v>
      </c>
      <c r="AA47" s="16">
        <v>39</v>
      </c>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230" t="str">
        <f t="shared" si="25"/>
        <v>zzRecipe: Stage: : inserted values</v>
      </c>
      <c r="BB47" s="211">
        <f t="shared" si="5"/>
        <v>0</v>
      </c>
      <c r="BC47" s="211">
        <f t="shared" si="6"/>
        <v>0</v>
      </c>
      <c r="BD47" s="231">
        <f t="shared" si="7"/>
        <v>0</v>
      </c>
      <c r="BE47" s="231">
        <f t="shared" si="8"/>
        <v>0</v>
      </c>
      <c r="BF47" s="231">
        <f t="shared" si="9"/>
        <v>0</v>
      </c>
      <c r="BG47" s="231">
        <f t="shared" si="10"/>
        <v>0</v>
      </c>
      <c r="BH47" s="231">
        <f t="shared" si="11"/>
        <v>0</v>
      </c>
      <c r="BI47" s="231">
        <f t="shared" si="12"/>
        <v>0</v>
      </c>
      <c r="BJ47" s="231">
        <f t="shared" si="13"/>
        <v>0</v>
      </c>
      <c r="BK47" s="231">
        <f t="shared" si="14"/>
        <v>0</v>
      </c>
      <c r="BL47" s="211">
        <f t="shared" si="15"/>
        <v>0</v>
      </c>
      <c r="BM47" s="211">
        <f t="shared" si="16"/>
        <v>0</v>
      </c>
      <c r="BN47" s="211">
        <f t="shared" si="17"/>
        <v>0</v>
      </c>
      <c r="BO47" s="211">
        <f t="shared" si="18"/>
        <v>0</v>
      </c>
      <c r="BP47" s="211">
        <f t="shared" si="19"/>
        <v>0</v>
      </c>
      <c r="BQ47" s="211">
        <f t="shared" si="20"/>
        <v>0</v>
      </c>
      <c r="BR47" s="13"/>
      <c r="BS47" s="13"/>
    </row>
    <row r="48" spans="1:71">
      <c r="A48" s="222" t="s">
        <v>122</v>
      </c>
      <c r="B48" s="222" t="s">
        <v>123</v>
      </c>
      <c r="C48" s="223">
        <f t="shared" si="22"/>
        <v>0</v>
      </c>
      <c r="D48" s="224"/>
      <c r="E48" s="224"/>
      <c r="F48" s="225"/>
      <c r="G48" s="224"/>
      <c r="H48" s="224"/>
      <c r="I48" s="224"/>
      <c r="J48" s="224"/>
      <c r="K48" s="224"/>
      <c r="L48" s="224"/>
      <c r="M48" s="224"/>
      <c r="N48" s="224"/>
      <c r="O48" s="224"/>
      <c r="P48" s="224"/>
      <c r="Q48" s="224"/>
      <c r="R48" s="224"/>
      <c r="S48" s="226" t="str">
        <f t="shared" si="21"/>
        <v/>
      </c>
      <c r="T48" s="28"/>
      <c r="U48" s="227"/>
      <c r="V48" s="218"/>
      <c r="W48" s="218"/>
      <c r="X48" s="229">
        <f t="shared" si="23"/>
        <v>0</v>
      </c>
      <c r="Y48" s="218"/>
      <c r="Z48" s="214" t="str">
        <f t="shared" si="24"/>
        <v>zzRecipe: stadio : inserted values</v>
      </c>
      <c r="AA48" s="16">
        <v>40</v>
      </c>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230" t="str">
        <f t="shared" si="25"/>
        <v>zzRecipe: Stage: : inserted values</v>
      </c>
      <c r="BB48" s="211">
        <f t="shared" si="5"/>
        <v>0</v>
      </c>
      <c r="BC48" s="211">
        <f t="shared" si="6"/>
        <v>0</v>
      </c>
      <c r="BD48" s="231">
        <f t="shared" si="7"/>
        <v>0</v>
      </c>
      <c r="BE48" s="231">
        <f t="shared" si="8"/>
        <v>0</v>
      </c>
      <c r="BF48" s="231">
        <f t="shared" si="9"/>
        <v>0</v>
      </c>
      <c r="BG48" s="231">
        <f t="shared" si="10"/>
        <v>0</v>
      </c>
      <c r="BH48" s="231">
        <f t="shared" si="11"/>
        <v>0</v>
      </c>
      <c r="BI48" s="231">
        <f t="shared" si="12"/>
        <v>0</v>
      </c>
      <c r="BJ48" s="231">
        <f t="shared" si="13"/>
        <v>0</v>
      </c>
      <c r="BK48" s="231">
        <f t="shared" si="14"/>
        <v>0</v>
      </c>
      <c r="BL48" s="211">
        <f t="shared" si="15"/>
        <v>0</v>
      </c>
      <c r="BM48" s="211">
        <f t="shared" si="16"/>
        <v>0</v>
      </c>
      <c r="BN48" s="211">
        <f t="shared" si="17"/>
        <v>0</v>
      </c>
      <c r="BO48" s="211">
        <f t="shared" si="18"/>
        <v>0</v>
      </c>
      <c r="BP48" s="211">
        <f t="shared" si="19"/>
        <v>0</v>
      </c>
      <c r="BQ48" s="211">
        <f t="shared" si="20"/>
        <v>0</v>
      </c>
      <c r="BR48" s="13"/>
      <c r="BS48" s="13"/>
    </row>
    <row r="49" spans="1:71">
      <c r="A49" s="222" t="s">
        <v>122</v>
      </c>
      <c r="B49" s="222" t="s">
        <v>123</v>
      </c>
      <c r="C49" s="223">
        <f t="shared" si="22"/>
        <v>0</v>
      </c>
      <c r="D49" s="224"/>
      <c r="E49" s="224"/>
      <c r="F49" s="225"/>
      <c r="G49" s="224"/>
      <c r="H49" s="224"/>
      <c r="I49" s="224"/>
      <c r="J49" s="224"/>
      <c r="K49" s="224"/>
      <c r="L49" s="224"/>
      <c r="M49" s="224"/>
      <c r="N49" s="224"/>
      <c r="O49" s="224"/>
      <c r="P49" s="224"/>
      <c r="Q49" s="224"/>
      <c r="R49" s="224"/>
      <c r="S49" s="226" t="str">
        <f t="shared" si="21"/>
        <v/>
      </c>
      <c r="T49" s="28"/>
      <c r="U49" s="227"/>
      <c r="V49" s="218"/>
      <c r="W49" s="218"/>
      <c r="X49" s="229">
        <f t="shared" si="23"/>
        <v>0</v>
      </c>
      <c r="Y49" s="218"/>
      <c r="Z49" s="214" t="str">
        <f t="shared" si="24"/>
        <v>zzRecipe: stadio : inserted values</v>
      </c>
      <c r="AA49" s="16">
        <v>41</v>
      </c>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230" t="str">
        <f t="shared" si="25"/>
        <v>zzRecipe: Stage: : inserted values</v>
      </c>
      <c r="BB49" s="211">
        <f t="shared" si="5"/>
        <v>0</v>
      </c>
      <c r="BC49" s="211">
        <f t="shared" si="6"/>
        <v>0</v>
      </c>
      <c r="BD49" s="231">
        <f t="shared" si="7"/>
        <v>0</v>
      </c>
      <c r="BE49" s="231">
        <f t="shared" si="8"/>
        <v>0</v>
      </c>
      <c r="BF49" s="231">
        <f t="shared" si="9"/>
        <v>0</v>
      </c>
      <c r="BG49" s="231">
        <f t="shared" si="10"/>
        <v>0</v>
      </c>
      <c r="BH49" s="231">
        <f t="shared" si="11"/>
        <v>0</v>
      </c>
      <c r="BI49" s="231">
        <f t="shared" si="12"/>
        <v>0</v>
      </c>
      <c r="BJ49" s="231">
        <f t="shared" si="13"/>
        <v>0</v>
      </c>
      <c r="BK49" s="231">
        <f t="shared" si="14"/>
        <v>0</v>
      </c>
      <c r="BL49" s="211">
        <f t="shared" si="15"/>
        <v>0</v>
      </c>
      <c r="BM49" s="211">
        <f t="shared" si="16"/>
        <v>0</v>
      </c>
      <c r="BN49" s="211">
        <f t="shared" si="17"/>
        <v>0</v>
      </c>
      <c r="BO49" s="211">
        <f t="shared" si="18"/>
        <v>0</v>
      </c>
      <c r="BP49" s="211">
        <f t="shared" si="19"/>
        <v>0</v>
      </c>
      <c r="BQ49" s="211">
        <f t="shared" si="20"/>
        <v>0</v>
      </c>
      <c r="BR49" s="13"/>
      <c r="BS49" s="13"/>
    </row>
    <row r="50" spans="1:71">
      <c r="A50" s="222" t="s">
        <v>122</v>
      </c>
      <c r="B50" s="222" t="s">
        <v>123</v>
      </c>
      <c r="C50" s="223">
        <f t="shared" si="22"/>
        <v>0</v>
      </c>
      <c r="D50" s="224"/>
      <c r="E50" s="224"/>
      <c r="F50" s="225"/>
      <c r="G50" s="224"/>
      <c r="H50" s="224"/>
      <c r="I50" s="224"/>
      <c r="J50" s="224"/>
      <c r="K50" s="224"/>
      <c r="L50" s="224"/>
      <c r="M50" s="224"/>
      <c r="N50" s="224"/>
      <c r="O50" s="224"/>
      <c r="P50" s="224"/>
      <c r="Q50" s="224"/>
      <c r="R50" s="224"/>
      <c r="S50" s="226" t="str">
        <f t="shared" si="21"/>
        <v/>
      </c>
      <c r="T50" s="28"/>
      <c r="U50" s="227"/>
      <c r="V50" s="218"/>
      <c r="W50" s="218"/>
      <c r="X50" s="229">
        <f t="shared" si="23"/>
        <v>0</v>
      </c>
      <c r="Y50" s="218"/>
      <c r="Z50" s="214" t="str">
        <f t="shared" si="24"/>
        <v>zzRecipe: stadio : inserted values</v>
      </c>
      <c r="AA50" s="16">
        <v>42</v>
      </c>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230" t="str">
        <f t="shared" si="25"/>
        <v>zzRecipe: Stage: : inserted values</v>
      </c>
      <c r="BB50" s="211">
        <f t="shared" si="5"/>
        <v>0</v>
      </c>
      <c r="BC50" s="211">
        <f t="shared" si="6"/>
        <v>0</v>
      </c>
      <c r="BD50" s="231">
        <f t="shared" si="7"/>
        <v>0</v>
      </c>
      <c r="BE50" s="231">
        <f t="shared" si="8"/>
        <v>0</v>
      </c>
      <c r="BF50" s="231">
        <f t="shared" si="9"/>
        <v>0</v>
      </c>
      <c r="BG50" s="231">
        <f t="shared" si="10"/>
        <v>0</v>
      </c>
      <c r="BH50" s="231">
        <f t="shared" si="11"/>
        <v>0</v>
      </c>
      <c r="BI50" s="231">
        <f t="shared" si="12"/>
        <v>0</v>
      </c>
      <c r="BJ50" s="231">
        <f t="shared" si="13"/>
        <v>0</v>
      </c>
      <c r="BK50" s="231">
        <f t="shared" si="14"/>
        <v>0</v>
      </c>
      <c r="BL50" s="211">
        <f t="shared" si="15"/>
        <v>0</v>
      </c>
      <c r="BM50" s="211">
        <f t="shared" si="16"/>
        <v>0</v>
      </c>
      <c r="BN50" s="211">
        <f t="shared" si="17"/>
        <v>0</v>
      </c>
      <c r="BO50" s="211">
        <f t="shared" si="18"/>
        <v>0</v>
      </c>
      <c r="BP50" s="211">
        <f t="shared" si="19"/>
        <v>0</v>
      </c>
      <c r="BQ50" s="211">
        <f t="shared" si="20"/>
        <v>0</v>
      </c>
      <c r="BR50" s="13"/>
      <c r="BS50" s="13"/>
    </row>
    <row r="51" spans="1:71">
      <c r="A51" s="222" t="s">
        <v>122</v>
      </c>
      <c r="B51" s="222" t="s">
        <v>123</v>
      </c>
      <c r="C51" s="223">
        <f t="shared" si="22"/>
        <v>0</v>
      </c>
      <c r="D51" s="224"/>
      <c r="E51" s="224"/>
      <c r="F51" s="225"/>
      <c r="G51" s="224"/>
      <c r="H51" s="224"/>
      <c r="I51" s="224"/>
      <c r="J51" s="224"/>
      <c r="K51" s="224"/>
      <c r="L51" s="224"/>
      <c r="M51" s="224"/>
      <c r="N51" s="224"/>
      <c r="O51" s="224"/>
      <c r="P51" s="224"/>
      <c r="Q51" s="224"/>
      <c r="R51" s="224"/>
      <c r="S51" s="226" t="str">
        <f t="shared" si="21"/>
        <v/>
      </c>
      <c r="T51" s="28"/>
      <c r="U51" s="227"/>
      <c r="V51" s="218"/>
      <c r="W51" s="218"/>
      <c r="X51" s="229">
        <f t="shared" si="23"/>
        <v>0</v>
      </c>
      <c r="Y51" s="218"/>
      <c r="Z51" s="214" t="str">
        <f t="shared" si="24"/>
        <v>zzRecipe: stadio : inserted values</v>
      </c>
      <c r="AA51" s="16">
        <v>43</v>
      </c>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230" t="str">
        <f t="shared" si="25"/>
        <v>zzRecipe: Stage: : inserted values</v>
      </c>
      <c r="BB51" s="211">
        <f t="shared" si="5"/>
        <v>0</v>
      </c>
      <c r="BC51" s="211">
        <f t="shared" si="6"/>
        <v>0</v>
      </c>
      <c r="BD51" s="231">
        <f t="shared" si="7"/>
        <v>0</v>
      </c>
      <c r="BE51" s="231">
        <f t="shared" si="8"/>
        <v>0</v>
      </c>
      <c r="BF51" s="231">
        <f t="shared" si="9"/>
        <v>0</v>
      </c>
      <c r="BG51" s="231">
        <f t="shared" si="10"/>
        <v>0</v>
      </c>
      <c r="BH51" s="231">
        <f t="shared" si="11"/>
        <v>0</v>
      </c>
      <c r="BI51" s="231">
        <f t="shared" si="12"/>
        <v>0</v>
      </c>
      <c r="BJ51" s="231">
        <f t="shared" si="13"/>
        <v>0</v>
      </c>
      <c r="BK51" s="231">
        <f t="shared" si="14"/>
        <v>0</v>
      </c>
      <c r="BL51" s="211">
        <f t="shared" si="15"/>
        <v>0</v>
      </c>
      <c r="BM51" s="211">
        <f t="shared" si="16"/>
        <v>0</v>
      </c>
      <c r="BN51" s="211">
        <f t="shared" si="17"/>
        <v>0</v>
      </c>
      <c r="BO51" s="211">
        <f t="shared" si="18"/>
        <v>0</v>
      </c>
      <c r="BP51" s="211">
        <f t="shared" si="19"/>
        <v>0</v>
      </c>
      <c r="BQ51" s="211">
        <f t="shared" si="20"/>
        <v>0</v>
      </c>
      <c r="BR51" s="13"/>
      <c r="BS51" s="13"/>
    </row>
    <row r="52" spans="1:71">
      <c r="A52" s="222" t="s">
        <v>122</v>
      </c>
      <c r="B52" s="222" t="s">
        <v>123</v>
      </c>
      <c r="C52" s="223">
        <f t="shared" si="22"/>
        <v>0</v>
      </c>
      <c r="D52" s="224"/>
      <c r="E52" s="224"/>
      <c r="F52" s="225"/>
      <c r="G52" s="224"/>
      <c r="H52" s="224"/>
      <c r="I52" s="224"/>
      <c r="J52" s="224"/>
      <c r="K52" s="224"/>
      <c r="L52" s="224"/>
      <c r="M52" s="224"/>
      <c r="N52" s="224"/>
      <c r="O52" s="224"/>
      <c r="P52" s="224"/>
      <c r="Q52" s="224"/>
      <c r="R52" s="224"/>
      <c r="S52" s="226" t="str">
        <f t="shared" si="21"/>
        <v/>
      </c>
      <c r="T52" s="28"/>
      <c r="U52" s="227"/>
      <c r="V52" s="218"/>
      <c r="W52" s="218"/>
      <c r="X52" s="229">
        <f t="shared" si="23"/>
        <v>0</v>
      </c>
      <c r="Y52" s="218"/>
      <c r="Z52" s="214" t="str">
        <f t="shared" si="24"/>
        <v>zzRecipe: stadio : inserted values</v>
      </c>
      <c r="AA52" s="16">
        <v>44</v>
      </c>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230" t="str">
        <f t="shared" si="25"/>
        <v>zzRecipe: Stage: : inserted values</v>
      </c>
      <c r="BB52" s="211">
        <f t="shared" si="5"/>
        <v>0</v>
      </c>
      <c r="BC52" s="211">
        <f t="shared" si="6"/>
        <v>0</v>
      </c>
      <c r="BD52" s="231">
        <f t="shared" si="7"/>
        <v>0</v>
      </c>
      <c r="BE52" s="231">
        <f t="shared" si="8"/>
        <v>0</v>
      </c>
      <c r="BF52" s="231">
        <f t="shared" si="9"/>
        <v>0</v>
      </c>
      <c r="BG52" s="231">
        <f t="shared" si="10"/>
        <v>0</v>
      </c>
      <c r="BH52" s="231">
        <f t="shared" si="11"/>
        <v>0</v>
      </c>
      <c r="BI52" s="231">
        <f t="shared" si="12"/>
        <v>0</v>
      </c>
      <c r="BJ52" s="231">
        <f t="shared" si="13"/>
        <v>0</v>
      </c>
      <c r="BK52" s="231">
        <f t="shared" si="14"/>
        <v>0</v>
      </c>
      <c r="BL52" s="211">
        <f t="shared" si="15"/>
        <v>0</v>
      </c>
      <c r="BM52" s="211">
        <f t="shared" si="16"/>
        <v>0</v>
      </c>
      <c r="BN52" s="211">
        <f t="shared" si="17"/>
        <v>0</v>
      </c>
      <c r="BO52" s="211">
        <f t="shared" si="18"/>
        <v>0</v>
      </c>
      <c r="BP52" s="211">
        <f t="shared" si="19"/>
        <v>0</v>
      </c>
      <c r="BQ52" s="211">
        <f t="shared" si="20"/>
        <v>0</v>
      </c>
      <c r="BR52" s="13"/>
      <c r="BS52" s="13"/>
    </row>
    <row r="53" spans="1:71">
      <c r="A53" s="222" t="s">
        <v>122</v>
      </c>
      <c r="B53" s="222" t="s">
        <v>123</v>
      </c>
      <c r="C53" s="223">
        <f t="shared" si="22"/>
        <v>0</v>
      </c>
      <c r="D53" s="224"/>
      <c r="E53" s="224"/>
      <c r="F53" s="225"/>
      <c r="G53" s="224"/>
      <c r="H53" s="224"/>
      <c r="I53" s="224"/>
      <c r="J53" s="224"/>
      <c r="K53" s="224"/>
      <c r="L53" s="224"/>
      <c r="M53" s="224"/>
      <c r="N53" s="224"/>
      <c r="O53" s="224"/>
      <c r="P53" s="224"/>
      <c r="Q53" s="224"/>
      <c r="R53" s="224"/>
      <c r="S53" s="226" t="str">
        <f t="shared" si="21"/>
        <v/>
      </c>
      <c r="T53" s="28"/>
      <c r="U53" s="227"/>
      <c r="V53" s="218"/>
      <c r="W53" s="218"/>
      <c r="X53" s="229">
        <f t="shared" si="23"/>
        <v>0</v>
      </c>
      <c r="Y53" s="218"/>
      <c r="Z53" s="214" t="str">
        <f t="shared" si="24"/>
        <v>zzRecipe: stadio : inserted values</v>
      </c>
      <c r="AA53" s="16">
        <v>45</v>
      </c>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230" t="str">
        <f t="shared" si="25"/>
        <v>zzRecipe: Stage: : inserted values</v>
      </c>
      <c r="BB53" s="211">
        <f t="shared" si="5"/>
        <v>0</v>
      </c>
      <c r="BC53" s="211">
        <f t="shared" si="6"/>
        <v>0</v>
      </c>
      <c r="BD53" s="231">
        <f t="shared" si="7"/>
        <v>0</v>
      </c>
      <c r="BE53" s="231">
        <f t="shared" si="8"/>
        <v>0</v>
      </c>
      <c r="BF53" s="231">
        <f t="shared" si="9"/>
        <v>0</v>
      </c>
      <c r="BG53" s="231">
        <f t="shared" si="10"/>
        <v>0</v>
      </c>
      <c r="BH53" s="231">
        <f t="shared" si="11"/>
        <v>0</v>
      </c>
      <c r="BI53" s="231">
        <f t="shared" si="12"/>
        <v>0</v>
      </c>
      <c r="BJ53" s="231">
        <f t="shared" si="13"/>
        <v>0</v>
      </c>
      <c r="BK53" s="231">
        <f t="shared" si="14"/>
        <v>0</v>
      </c>
      <c r="BL53" s="211">
        <f t="shared" si="15"/>
        <v>0</v>
      </c>
      <c r="BM53" s="211">
        <f t="shared" si="16"/>
        <v>0</v>
      </c>
      <c r="BN53" s="211">
        <f t="shared" si="17"/>
        <v>0</v>
      </c>
      <c r="BO53" s="211">
        <f t="shared" si="18"/>
        <v>0</v>
      </c>
      <c r="BP53" s="211">
        <f t="shared" si="19"/>
        <v>0</v>
      </c>
      <c r="BQ53" s="211">
        <f t="shared" si="20"/>
        <v>0</v>
      </c>
      <c r="BR53" s="13"/>
      <c r="BS53" s="13"/>
    </row>
    <row r="54" spans="1:71">
      <c r="A54" s="222" t="s">
        <v>122</v>
      </c>
      <c r="B54" s="222" t="s">
        <v>123</v>
      </c>
      <c r="C54" s="223">
        <f t="shared" si="22"/>
        <v>0</v>
      </c>
      <c r="D54" s="224"/>
      <c r="E54" s="224"/>
      <c r="F54" s="225"/>
      <c r="G54" s="224"/>
      <c r="H54" s="224"/>
      <c r="I54" s="224"/>
      <c r="J54" s="224"/>
      <c r="K54" s="224"/>
      <c r="L54" s="224"/>
      <c r="M54" s="224"/>
      <c r="N54" s="224"/>
      <c r="O54" s="224"/>
      <c r="P54" s="224"/>
      <c r="Q54" s="224"/>
      <c r="R54" s="224"/>
      <c r="S54" s="226" t="str">
        <f t="shared" si="21"/>
        <v/>
      </c>
      <c r="T54" s="28"/>
      <c r="U54" s="227"/>
      <c r="V54" s="218"/>
      <c r="W54" s="218"/>
      <c r="X54" s="229">
        <f t="shared" si="23"/>
        <v>0</v>
      </c>
      <c r="Y54" s="218"/>
      <c r="Z54" s="214" t="str">
        <f t="shared" si="24"/>
        <v>zzRecipe: stadio : inserted values</v>
      </c>
      <c r="AA54" s="16">
        <v>46</v>
      </c>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230" t="str">
        <f t="shared" si="25"/>
        <v>zzRecipe: Stage: : inserted values</v>
      </c>
      <c r="BB54" s="211">
        <f t="shared" si="5"/>
        <v>0</v>
      </c>
      <c r="BC54" s="211">
        <f t="shared" si="6"/>
        <v>0</v>
      </c>
      <c r="BD54" s="231">
        <f t="shared" si="7"/>
        <v>0</v>
      </c>
      <c r="BE54" s="231">
        <f t="shared" si="8"/>
        <v>0</v>
      </c>
      <c r="BF54" s="231">
        <f t="shared" si="9"/>
        <v>0</v>
      </c>
      <c r="BG54" s="231">
        <f t="shared" si="10"/>
        <v>0</v>
      </c>
      <c r="BH54" s="231">
        <f t="shared" si="11"/>
        <v>0</v>
      </c>
      <c r="BI54" s="231">
        <f t="shared" si="12"/>
        <v>0</v>
      </c>
      <c r="BJ54" s="231">
        <f t="shared" si="13"/>
        <v>0</v>
      </c>
      <c r="BK54" s="231">
        <f t="shared" si="14"/>
        <v>0</v>
      </c>
      <c r="BL54" s="211">
        <f t="shared" si="15"/>
        <v>0</v>
      </c>
      <c r="BM54" s="211">
        <f t="shared" si="16"/>
        <v>0</v>
      </c>
      <c r="BN54" s="211">
        <f t="shared" si="17"/>
        <v>0</v>
      </c>
      <c r="BO54" s="211">
        <f t="shared" si="18"/>
        <v>0</v>
      </c>
      <c r="BP54" s="211">
        <f t="shared" si="19"/>
        <v>0</v>
      </c>
      <c r="BQ54" s="211">
        <f t="shared" si="20"/>
        <v>0</v>
      </c>
      <c r="BR54" s="211"/>
      <c r="BS54" s="211"/>
    </row>
    <row r="55" spans="1:71">
      <c r="A55" s="222" t="s">
        <v>122</v>
      </c>
      <c r="B55" s="222" t="s">
        <v>123</v>
      </c>
      <c r="C55" s="223">
        <f t="shared" si="22"/>
        <v>0</v>
      </c>
      <c r="D55" s="224"/>
      <c r="E55" s="224"/>
      <c r="F55" s="225"/>
      <c r="G55" s="224"/>
      <c r="H55" s="224"/>
      <c r="I55" s="224"/>
      <c r="J55" s="224"/>
      <c r="K55" s="224"/>
      <c r="L55" s="224"/>
      <c r="M55" s="224"/>
      <c r="N55" s="224"/>
      <c r="O55" s="224"/>
      <c r="P55" s="224"/>
      <c r="Q55" s="224"/>
      <c r="R55" s="224"/>
      <c r="S55" s="226" t="str">
        <f t="shared" si="21"/>
        <v/>
      </c>
      <c r="T55" s="28"/>
      <c r="U55" s="227"/>
      <c r="V55" s="218"/>
      <c r="W55" s="218"/>
      <c r="X55" s="229">
        <f t="shared" si="23"/>
        <v>0</v>
      </c>
      <c r="Y55" s="218"/>
      <c r="Z55" s="214" t="str">
        <f t="shared" si="24"/>
        <v>zzRecipe: stadio : inserted values</v>
      </c>
      <c r="AA55" s="16">
        <v>47</v>
      </c>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230" t="str">
        <f t="shared" si="25"/>
        <v>zzRecipe: Stage: : inserted values</v>
      </c>
      <c r="BB55" s="211">
        <f t="shared" si="5"/>
        <v>0</v>
      </c>
      <c r="BC55" s="211">
        <f t="shared" si="6"/>
        <v>0</v>
      </c>
      <c r="BD55" s="231">
        <f t="shared" si="7"/>
        <v>0</v>
      </c>
      <c r="BE55" s="231">
        <f t="shared" si="8"/>
        <v>0</v>
      </c>
      <c r="BF55" s="231">
        <f t="shared" si="9"/>
        <v>0</v>
      </c>
      <c r="BG55" s="231">
        <f t="shared" si="10"/>
        <v>0</v>
      </c>
      <c r="BH55" s="231">
        <f t="shared" si="11"/>
        <v>0</v>
      </c>
      <c r="BI55" s="231">
        <f t="shared" si="12"/>
        <v>0</v>
      </c>
      <c r="BJ55" s="231">
        <f t="shared" si="13"/>
        <v>0</v>
      </c>
      <c r="BK55" s="231">
        <f t="shared" si="14"/>
        <v>0</v>
      </c>
      <c r="BL55" s="211">
        <f t="shared" si="15"/>
        <v>0</v>
      </c>
      <c r="BM55" s="211">
        <f t="shared" si="16"/>
        <v>0</v>
      </c>
      <c r="BN55" s="211">
        <f t="shared" si="17"/>
        <v>0</v>
      </c>
      <c r="BO55" s="211">
        <f t="shared" si="18"/>
        <v>0</v>
      </c>
      <c r="BP55" s="211">
        <f t="shared" si="19"/>
        <v>0</v>
      </c>
      <c r="BQ55" s="211">
        <f t="shared" si="20"/>
        <v>0</v>
      </c>
      <c r="BR55" s="13"/>
      <c r="BS55" s="13"/>
    </row>
    <row r="56" spans="1:71">
      <c r="A56" s="222" t="s">
        <v>122</v>
      </c>
      <c r="B56" s="222" t="s">
        <v>123</v>
      </c>
      <c r="C56" s="223">
        <f t="shared" si="22"/>
        <v>0</v>
      </c>
      <c r="D56" s="224"/>
      <c r="E56" s="224"/>
      <c r="F56" s="225"/>
      <c r="G56" s="224"/>
      <c r="H56" s="224"/>
      <c r="I56" s="224"/>
      <c r="J56" s="224"/>
      <c r="K56" s="224"/>
      <c r="L56" s="224"/>
      <c r="M56" s="224"/>
      <c r="N56" s="224"/>
      <c r="O56" s="224"/>
      <c r="P56" s="224"/>
      <c r="Q56" s="224"/>
      <c r="R56" s="224"/>
      <c r="S56" s="226" t="str">
        <f t="shared" si="21"/>
        <v/>
      </c>
      <c r="T56" s="28"/>
      <c r="U56" s="227"/>
      <c r="V56" s="218"/>
      <c r="W56" s="218"/>
      <c r="X56" s="229">
        <f t="shared" si="23"/>
        <v>0</v>
      </c>
      <c r="Y56" s="218"/>
      <c r="Z56" s="214" t="str">
        <f t="shared" si="24"/>
        <v>zzRecipe: stadio : inserted values</v>
      </c>
      <c r="AA56" s="16">
        <v>48</v>
      </c>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230" t="str">
        <f t="shared" si="25"/>
        <v>zzRecipe: Stage: : inserted values</v>
      </c>
      <c r="BB56" s="211">
        <f t="shared" si="5"/>
        <v>0</v>
      </c>
      <c r="BC56" s="211">
        <f t="shared" si="6"/>
        <v>0</v>
      </c>
      <c r="BD56" s="231">
        <f t="shared" si="7"/>
        <v>0</v>
      </c>
      <c r="BE56" s="231">
        <f t="shared" si="8"/>
        <v>0</v>
      </c>
      <c r="BF56" s="231">
        <f t="shared" si="9"/>
        <v>0</v>
      </c>
      <c r="BG56" s="231">
        <f t="shared" si="10"/>
        <v>0</v>
      </c>
      <c r="BH56" s="231">
        <f t="shared" si="11"/>
        <v>0</v>
      </c>
      <c r="BI56" s="231">
        <f t="shared" si="12"/>
        <v>0</v>
      </c>
      <c r="BJ56" s="231">
        <f t="shared" si="13"/>
        <v>0</v>
      </c>
      <c r="BK56" s="231">
        <f t="shared" si="14"/>
        <v>0</v>
      </c>
      <c r="BL56" s="211">
        <f t="shared" si="15"/>
        <v>0</v>
      </c>
      <c r="BM56" s="211">
        <f t="shared" si="16"/>
        <v>0</v>
      </c>
      <c r="BN56" s="211">
        <f t="shared" si="17"/>
        <v>0</v>
      </c>
      <c r="BO56" s="211">
        <f t="shared" si="18"/>
        <v>0</v>
      </c>
      <c r="BP56" s="211">
        <f t="shared" si="19"/>
        <v>0</v>
      </c>
      <c r="BQ56" s="211">
        <f t="shared" si="20"/>
        <v>0</v>
      </c>
      <c r="BR56" s="13"/>
      <c r="BS56" s="13"/>
    </row>
    <row r="57" spans="1:71">
      <c r="A57" s="222" t="s">
        <v>122</v>
      </c>
      <c r="B57" s="222" t="s">
        <v>123</v>
      </c>
      <c r="C57" s="223">
        <f t="shared" si="22"/>
        <v>0</v>
      </c>
      <c r="D57" s="224"/>
      <c r="E57" s="224"/>
      <c r="F57" s="225"/>
      <c r="G57" s="224"/>
      <c r="H57" s="224"/>
      <c r="I57" s="224"/>
      <c r="J57" s="224"/>
      <c r="K57" s="224"/>
      <c r="L57" s="224"/>
      <c r="M57" s="224"/>
      <c r="N57" s="224"/>
      <c r="O57" s="224"/>
      <c r="P57" s="224"/>
      <c r="Q57" s="224"/>
      <c r="R57" s="224"/>
      <c r="S57" s="226" t="str">
        <f t="shared" si="21"/>
        <v/>
      </c>
      <c r="T57" s="28"/>
      <c r="U57" s="227"/>
      <c r="V57" s="218"/>
      <c r="W57" s="218"/>
      <c r="X57" s="229">
        <f t="shared" si="23"/>
        <v>0</v>
      </c>
      <c r="Y57" s="218"/>
      <c r="Z57" s="214" t="str">
        <f t="shared" si="24"/>
        <v>zzRecipe: stadio : inserted values</v>
      </c>
      <c r="AA57" s="16">
        <v>49</v>
      </c>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230" t="str">
        <f t="shared" si="25"/>
        <v>zzRecipe: Stage: : inserted values</v>
      </c>
      <c r="BB57" s="211">
        <f t="shared" si="5"/>
        <v>0</v>
      </c>
      <c r="BC57" s="211">
        <f t="shared" si="6"/>
        <v>0</v>
      </c>
      <c r="BD57" s="231">
        <f t="shared" si="7"/>
        <v>0</v>
      </c>
      <c r="BE57" s="231">
        <f t="shared" si="8"/>
        <v>0</v>
      </c>
      <c r="BF57" s="231">
        <f t="shared" si="9"/>
        <v>0</v>
      </c>
      <c r="BG57" s="231">
        <f t="shared" si="10"/>
        <v>0</v>
      </c>
      <c r="BH57" s="231">
        <f t="shared" si="11"/>
        <v>0</v>
      </c>
      <c r="BI57" s="231">
        <f t="shared" si="12"/>
        <v>0</v>
      </c>
      <c r="BJ57" s="231">
        <f t="shared" si="13"/>
        <v>0</v>
      </c>
      <c r="BK57" s="231">
        <f t="shared" si="14"/>
        <v>0</v>
      </c>
      <c r="BL57" s="211">
        <f t="shared" si="15"/>
        <v>0</v>
      </c>
      <c r="BM57" s="211">
        <f t="shared" si="16"/>
        <v>0</v>
      </c>
      <c r="BN57" s="211">
        <f t="shared" si="17"/>
        <v>0</v>
      </c>
      <c r="BO57" s="211">
        <f t="shared" si="18"/>
        <v>0</v>
      </c>
      <c r="BP57" s="211">
        <f t="shared" si="19"/>
        <v>0</v>
      </c>
      <c r="BQ57" s="211">
        <f t="shared" si="20"/>
        <v>0</v>
      </c>
      <c r="BR57" s="13"/>
      <c r="BS57" s="13"/>
    </row>
    <row r="58" spans="1:71">
      <c r="A58" s="222" t="s">
        <v>122</v>
      </c>
      <c r="B58" s="222" t="s">
        <v>123</v>
      </c>
      <c r="C58" s="223">
        <f t="shared" si="22"/>
        <v>0</v>
      </c>
      <c r="D58" s="224"/>
      <c r="E58" s="224"/>
      <c r="F58" s="225"/>
      <c r="G58" s="224"/>
      <c r="H58" s="224"/>
      <c r="I58" s="224"/>
      <c r="J58" s="224"/>
      <c r="K58" s="224"/>
      <c r="L58" s="224"/>
      <c r="M58" s="224"/>
      <c r="N58" s="224"/>
      <c r="O58" s="224"/>
      <c r="P58" s="224"/>
      <c r="Q58" s="224"/>
      <c r="R58" s="224"/>
      <c r="S58" s="226" t="str">
        <f t="shared" si="21"/>
        <v/>
      </c>
      <c r="T58" s="232"/>
      <c r="U58" s="233"/>
      <c r="V58" s="218"/>
      <c r="W58" s="218"/>
      <c r="X58" s="229">
        <f t="shared" si="23"/>
        <v>0</v>
      </c>
      <c r="Y58" s="218"/>
      <c r="Z58" s="214" t="str">
        <f t="shared" si="24"/>
        <v>zzRecipe: stadio : inserted values</v>
      </c>
      <c r="AA58" s="16">
        <v>50</v>
      </c>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230" t="str">
        <f t="shared" si="25"/>
        <v>zzRecipe: Stage: : inserted values</v>
      </c>
      <c r="BB58" s="211">
        <f t="shared" si="5"/>
        <v>0</v>
      </c>
      <c r="BC58" s="211">
        <f t="shared" si="6"/>
        <v>0</v>
      </c>
      <c r="BD58" s="231">
        <f t="shared" si="7"/>
        <v>0</v>
      </c>
      <c r="BE58" s="231">
        <f t="shared" si="8"/>
        <v>0</v>
      </c>
      <c r="BF58" s="231">
        <f t="shared" si="9"/>
        <v>0</v>
      </c>
      <c r="BG58" s="231">
        <f t="shared" si="10"/>
        <v>0</v>
      </c>
      <c r="BH58" s="231">
        <f t="shared" si="11"/>
        <v>0</v>
      </c>
      <c r="BI58" s="231">
        <f t="shared" si="12"/>
        <v>0</v>
      </c>
      <c r="BJ58" s="231">
        <f t="shared" si="13"/>
        <v>0</v>
      </c>
      <c r="BK58" s="231">
        <f t="shared" si="14"/>
        <v>0</v>
      </c>
      <c r="BL58" s="211">
        <f t="shared" si="15"/>
        <v>0</v>
      </c>
      <c r="BM58" s="211">
        <f t="shared" si="16"/>
        <v>0</v>
      </c>
      <c r="BN58" s="211">
        <f t="shared" si="17"/>
        <v>0</v>
      </c>
      <c r="BO58" s="211">
        <f t="shared" si="18"/>
        <v>0</v>
      </c>
      <c r="BP58" s="211">
        <f t="shared" si="19"/>
        <v>0</v>
      </c>
      <c r="BQ58" s="211">
        <f t="shared" si="20"/>
        <v>0</v>
      </c>
      <c r="BR58" s="13"/>
      <c r="BS58" s="13"/>
    </row>
    <row r="59" spans="1:71">
      <c r="A59" s="13"/>
      <c r="B59" s="13"/>
      <c r="C59" s="13"/>
      <c r="D59" s="13"/>
      <c r="E59" s="13"/>
      <c r="F59" s="13"/>
      <c r="G59" s="13"/>
      <c r="H59" s="13"/>
      <c r="I59" s="13"/>
      <c r="J59" s="13"/>
      <c r="K59" s="13"/>
      <c r="L59" s="13"/>
      <c r="M59" s="13"/>
      <c r="N59" s="13"/>
      <c r="O59" s="13"/>
      <c r="P59" s="13"/>
      <c r="Q59" s="13"/>
      <c r="R59" s="13"/>
      <c r="S59" s="218"/>
      <c r="T59" s="218"/>
      <c r="U59" s="218"/>
      <c r="V59" s="13"/>
      <c r="W59" s="13"/>
      <c r="X59" s="234"/>
      <c r="Y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R59" s="13"/>
      <c r="BS59" s="13"/>
    </row>
    <row r="60" spans="1:71">
      <c r="A60" s="13"/>
      <c r="B60" s="13"/>
      <c r="C60" s="13"/>
      <c r="D60" s="13"/>
      <c r="E60" s="13"/>
      <c r="F60" s="13"/>
      <c r="G60" s="13"/>
      <c r="H60" s="13"/>
      <c r="I60" s="13"/>
      <c r="J60" s="13"/>
      <c r="K60" s="13"/>
      <c r="L60" s="13"/>
      <c r="M60" s="13"/>
      <c r="N60" s="13"/>
      <c r="O60" s="13"/>
      <c r="P60" s="13"/>
      <c r="Q60" s="13"/>
      <c r="R60" s="13"/>
      <c r="S60" s="218"/>
      <c r="T60" s="218"/>
      <c r="U60" s="218"/>
      <c r="V60" s="13"/>
      <c r="W60" s="13"/>
      <c r="X60" s="13"/>
      <c r="Y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row>
    <row r="61" spans="1:71">
      <c r="A61" s="13"/>
      <c r="B61" s="13"/>
      <c r="C61" s="13"/>
      <c r="D61" s="13"/>
      <c r="E61" s="13"/>
      <c r="F61" s="13"/>
      <c r="G61" s="13"/>
      <c r="H61" s="13"/>
      <c r="I61" s="13"/>
      <c r="J61" s="13"/>
      <c r="K61" s="13"/>
      <c r="L61" s="13"/>
      <c r="M61" s="13"/>
      <c r="N61" s="13"/>
      <c r="O61" s="13"/>
      <c r="P61" s="13"/>
      <c r="Q61" s="13"/>
      <c r="R61" s="13"/>
      <c r="S61" s="218"/>
      <c r="T61" s="218"/>
      <c r="U61" s="218"/>
      <c r="V61" s="13"/>
      <c r="W61" s="13"/>
      <c r="X61" s="13"/>
      <c r="Y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row>
    <row r="62" spans="1:71">
      <c r="A62" s="13"/>
      <c r="B62" s="13"/>
      <c r="C62" s="13"/>
      <c r="D62" s="13"/>
      <c r="E62" s="13"/>
      <c r="F62" s="13"/>
      <c r="G62" s="13"/>
      <c r="H62" s="13"/>
      <c r="I62" s="13"/>
      <c r="J62" s="13"/>
      <c r="K62" s="13"/>
      <c r="L62" s="13"/>
      <c r="M62" s="13"/>
      <c r="N62" s="13"/>
      <c r="O62" s="13"/>
      <c r="P62" s="13"/>
      <c r="Q62" s="13"/>
      <c r="R62" s="13"/>
      <c r="V62" s="13"/>
      <c r="W62" s="13"/>
      <c r="X62" s="13"/>
      <c r="Y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row>
    <row r="63" spans="1:71">
      <c r="A63" s="13"/>
      <c r="B63" s="13"/>
      <c r="C63" s="13"/>
      <c r="D63" s="13"/>
      <c r="E63" s="13"/>
      <c r="F63" s="13"/>
      <c r="G63" s="13"/>
      <c r="H63" s="13"/>
      <c r="I63" s="13"/>
      <c r="J63" s="13"/>
      <c r="K63" s="13"/>
      <c r="L63" s="13"/>
      <c r="M63" s="13"/>
      <c r="N63" s="13"/>
      <c r="O63" s="13"/>
      <c r="P63" s="13"/>
      <c r="Q63" s="13"/>
      <c r="R63" s="13"/>
      <c r="V63" s="13"/>
      <c r="W63" s="13"/>
      <c r="X63" s="13"/>
      <c r="Y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row>
    <row r="64" spans="1:71">
      <c r="A64" s="13"/>
      <c r="B64" s="13"/>
      <c r="C64" s="13"/>
      <c r="D64" s="13"/>
      <c r="E64" s="13"/>
      <c r="F64" s="13"/>
      <c r="G64" s="13"/>
      <c r="H64" s="13"/>
      <c r="I64" s="13"/>
      <c r="J64" s="13"/>
      <c r="K64" s="13"/>
      <c r="L64" s="13"/>
      <c r="M64" s="13"/>
      <c r="N64" s="13"/>
      <c r="O64" s="13"/>
      <c r="P64" s="13"/>
      <c r="Q64" s="13"/>
      <c r="R64" s="13"/>
      <c r="V64" s="13"/>
      <c r="W64" s="13"/>
      <c r="X64" s="13"/>
      <c r="Y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row>
    <row r="65" spans="1:71">
      <c r="A65" s="13"/>
      <c r="B65" s="13"/>
      <c r="C65" s="13"/>
      <c r="D65" s="13"/>
      <c r="E65" s="13"/>
      <c r="F65" s="13"/>
      <c r="G65" s="13"/>
      <c r="H65" s="13"/>
      <c r="I65" s="13"/>
      <c r="J65" s="13"/>
      <c r="K65" s="13"/>
      <c r="L65" s="13"/>
      <c r="M65" s="13"/>
      <c r="N65" s="13"/>
      <c r="O65" s="13"/>
      <c r="P65" s="13"/>
      <c r="Q65" s="13"/>
      <c r="R65" s="13"/>
      <c r="V65" s="13"/>
      <c r="W65" s="13"/>
      <c r="X65" s="13"/>
      <c r="Y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row>
    <row r="66" spans="1:71">
      <c r="A66" s="13"/>
      <c r="B66" s="13"/>
      <c r="C66" s="13"/>
      <c r="D66" s="13"/>
      <c r="E66" s="13"/>
      <c r="F66" s="13"/>
      <c r="G66" s="13"/>
      <c r="H66" s="13"/>
      <c r="I66" s="13"/>
      <c r="J66" s="13"/>
      <c r="K66" s="13"/>
      <c r="L66" s="13"/>
      <c r="M66" s="13"/>
      <c r="N66" s="13"/>
      <c r="O66" s="13"/>
      <c r="P66" s="13"/>
      <c r="Q66" s="13"/>
      <c r="R66" s="13"/>
      <c r="V66" s="13"/>
      <c r="W66" s="13"/>
      <c r="X66" s="13"/>
      <c r="Y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row>
    <row r="67" spans="1:71">
      <c r="A67" s="13"/>
      <c r="B67" s="13"/>
      <c r="C67" s="13"/>
      <c r="D67" s="13"/>
      <c r="E67" s="13"/>
      <c r="F67" s="13"/>
      <c r="G67" s="13"/>
      <c r="H67" s="13"/>
      <c r="I67" s="13"/>
      <c r="J67" s="13"/>
      <c r="K67" s="13"/>
      <c r="L67" s="13"/>
      <c r="M67" s="13"/>
      <c r="N67" s="13"/>
      <c r="O67" s="13"/>
      <c r="P67" s="13"/>
      <c r="Q67" s="13"/>
      <c r="R67" s="13"/>
      <c r="V67" s="13"/>
      <c r="W67" s="13"/>
      <c r="X67" s="13"/>
      <c r="Y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row>
    <row r="68" spans="1:71">
      <c r="A68" s="13"/>
      <c r="B68" s="13"/>
      <c r="C68" s="13"/>
      <c r="D68" s="13"/>
      <c r="E68" s="13"/>
      <c r="F68" s="13"/>
      <c r="G68" s="13"/>
      <c r="H68" s="13"/>
      <c r="I68" s="13"/>
      <c r="J68" s="13"/>
      <c r="K68" s="13"/>
      <c r="L68" s="13"/>
      <c r="M68" s="13"/>
      <c r="N68" s="13"/>
      <c r="O68" s="13"/>
      <c r="P68" s="13"/>
      <c r="Q68" s="13"/>
      <c r="R68" s="13"/>
      <c r="V68" s="13"/>
      <c r="W68" s="13"/>
      <c r="X68" s="13"/>
      <c r="Y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row>
    <row r="69" spans="1:71">
      <c r="A69" s="13"/>
      <c r="B69" s="13"/>
      <c r="C69" s="13"/>
      <c r="D69" s="13"/>
      <c r="E69" s="13"/>
      <c r="F69" s="13"/>
      <c r="G69" s="13"/>
      <c r="H69" s="13"/>
      <c r="I69" s="13"/>
      <c r="J69" s="13"/>
      <c r="K69" s="13"/>
      <c r="L69" s="13"/>
      <c r="M69" s="13"/>
      <c r="N69" s="13"/>
      <c r="O69" s="13"/>
      <c r="P69" s="13"/>
      <c r="Q69" s="13"/>
      <c r="R69" s="13"/>
      <c r="V69" s="13"/>
      <c r="W69" s="13"/>
      <c r="X69" s="13"/>
      <c r="Y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row>
    <row r="70" spans="1:71">
      <c r="A70" s="13"/>
      <c r="B70" s="13"/>
      <c r="C70" s="13"/>
      <c r="D70" s="13"/>
      <c r="E70" s="13"/>
      <c r="F70" s="13"/>
      <c r="G70" s="13"/>
      <c r="H70" s="13"/>
      <c r="I70" s="13"/>
      <c r="J70" s="13"/>
      <c r="K70" s="13"/>
      <c r="L70" s="13"/>
      <c r="M70" s="13"/>
      <c r="N70" s="13"/>
      <c r="O70" s="13"/>
      <c r="P70" s="13"/>
      <c r="Q70" s="13"/>
      <c r="R70" s="13"/>
      <c r="V70" s="13"/>
      <c r="W70" s="13"/>
      <c r="X70" s="13"/>
      <c r="Y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row>
    <row r="71" spans="1:71">
      <c r="A71" s="13"/>
      <c r="B71" s="13"/>
      <c r="C71" s="13"/>
      <c r="D71" s="13"/>
      <c r="E71" s="13"/>
      <c r="F71" s="13"/>
      <c r="G71" s="13"/>
      <c r="H71" s="13"/>
      <c r="I71" s="13"/>
      <c r="J71" s="13"/>
      <c r="K71" s="13"/>
      <c r="L71" s="13"/>
      <c r="M71" s="13"/>
      <c r="N71" s="13"/>
      <c r="O71" s="13"/>
      <c r="P71" s="13"/>
      <c r="Q71" s="13"/>
      <c r="R71" s="13"/>
      <c r="V71" s="13"/>
      <c r="W71" s="13"/>
      <c r="X71" s="13"/>
      <c r="Y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row>
    <row r="72" spans="1:71">
      <c r="A72" s="13"/>
      <c r="B72" s="13"/>
      <c r="C72" s="13"/>
      <c r="D72" s="13"/>
      <c r="E72" s="13"/>
      <c r="F72" s="13"/>
      <c r="G72" s="13"/>
      <c r="H72" s="13"/>
      <c r="I72" s="13"/>
      <c r="J72" s="13"/>
      <c r="K72" s="13"/>
      <c r="L72" s="13"/>
      <c r="M72" s="13"/>
      <c r="N72" s="13"/>
      <c r="O72" s="13"/>
      <c r="P72" s="13"/>
      <c r="Q72" s="13"/>
      <c r="R72" s="13"/>
      <c r="V72" s="13"/>
      <c r="W72" s="13"/>
      <c r="X72" s="13"/>
      <c r="Y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row>
    <row r="73" spans="1:71">
      <c r="A73" s="13"/>
      <c r="B73" s="13"/>
      <c r="C73" s="13"/>
      <c r="D73" s="13"/>
      <c r="E73" s="13"/>
      <c r="F73" s="13"/>
      <c r="G73" s="13"/>
      <c r="H73" s="13"/>
      <c r="I73" s="13"/>
      <c r="J73" s="13"/>
      <c r="K73" s="13"/>
      <c r="L73" s="13"/>
      <c r="M73" s="13"/>
      <c r="N73" s="13"/>
      <c r="O73" s="13"/>
      <c r="P73" s="13"/>
      <c r="Q73" s="13"/>
      <c r="R73" s="13"/>
      <c r="V73" s="13"/>
      <c r="W73" s="13"/>
      <c r="X73" s="13"/>
      <c r="Y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row>
    <row r="74" spans="1:71">
      <c r="A74" s="13"/>
      <c r="B74" s="13"/>
      <c r="C74" s="13"/>
      <c r="D74" s="13"/>
      <c r="E74" s="13"/>
      <c r="F74" s="13"/>
      <c r="G74" s="13"/>
      <c r="H74" s="13"/>
      <c r="I74" s="13"/>
      <c r="J74" s="13"/>
      <c r="K74" s="13"/>
      <c r="L74" s="13"/>
      <c r="M74" s="13"/>
      <c r="N74" s="13"/>
      <c r="O74" s="13"/>
      <c r="P74" s="13"/>
      <c r="Q74" s="13"/>
      <c r="R74" s="13"/>
      <c r="V74" s="13"/>
      <c r="W74" s="13"/>
      <c r="X74" s="13"/>
      <c r="Y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row>
    <row r="75" spans="1:71">
      <c r="BO75" s="13"/>
      <c r="BP75" s="13"/>
      <c r="BQ75" s="13"/>
      <c r="BR75" s="13"/>
      <c r="BS75" s="13"/>
    </row>
    <row r="76" spans="1:71">
      <c r="BO76" s="13"/>
      <c r="BP76" s="13"/>
      <c r="BQ76" s="13"/>
      <c r="BR76" s="13"/>
      <c r="BS76" s="13"/>
    </row>
    <row r="77" spans="1:71">
      <c r="BO77" s="13"/>
      <c r="BP77" s="13"/>
      <c r="BQ77" s="13"/>
      <c r="BR77" s="13"/>
      <c r="BS77" s="13"/>
    </row>
  </sheetData>
  <sheetProtection algorithmName="SHA-512" hashValue="rpnr4QOA36D+pZIIoGXq23TLnsOjPjSN9p1UXY5SjnqE1jOB/bQsXMcxbkLK+obVG2R3IdMeDYPxQExNkzvFsQ==" saltValue="BEsqmkVyASDWMB5N1ETaBg==" spinCount="100000" sheet="1" objects="1" scenarios="1"/>
  <mergeCells count="7">
    <mergeCell ref="S8:U8"/>
    <mergeCell ref="H6:K6"/>
    <mergeCell ref="M2:Q2"/>
    <mergeCell ref="M4:Q4"/>
    <mergeCell ref="M6:Q6"/>
    <mergeCell ref="H2:K2"/>
    <mergeCell ref="H4:K4"/>
  </mergeCells>
  <phoneticPr fontId="6" type="noConversion"/>
  <conditionalFormatting sqref="S9:U58">
    <cfRule type="expression" dxfId="62" priority="1" stopIfTrue="1">
      <formula>($X9)^2&gt;1</formula>
    </cfRule>
    <cfRule type="expression" dxfId="61" priority="2" stopIfTrue="1">
      <formula>($X9)^2&lt;1.01</formula>
    </cfRule>
  </conditionalFormatting>
  <hyperlinks>
    <hyperlink ref="M4:P4" location="'Acidi &amp; concimi'!A5" display="Acidi &amp; concimi"/>
    <hyperlink ref="M2:P2" location="Convertitore!B9" display="Convertitore mM in ppm"/>
    <hyperlink ref="H6:K6" location="Stampa!B1" display="Print  nutrient solution"/>
    <hyperlink ref="H4:K4" location="Calcolo!F11" display="Calculation sheet"/>
    <hyperlink ref="H2:K2" location="Istruzioni!A1" display="Quick start guide"/>
    <hyperlink ref="M6:P6" location="Parametri!A1" display="Inputs"/>
  </hyperlinks>
  <pageMargins left="0.75" right="0.75" top="0.47" bottom="0.75" header="0.5" footer="0.5"/>
  <pageSetup paperSize="9" scale="62" orientation="portrait" horizontalDpi="4294967294" verticalDpi="300" r:id="rId1"/>
  <headerFooter alignWithMargins="0"/>
  <drawing r:id="rId2"/>
  <legacyDrawing r:id="rId3"/>
  <oleObjects>
    <mc:AlternateContent xmlns:mc="http://schemas.openxmlformats.org/markup-compatibility/2006">
      <mc:Choice Requires="x14">
        <oleObject progId="PBrush" shapeId="4258" r:id="rId4">
          <objectPr defaultSize="0" autoPict="0" r:id="rId5">
            <anchor moveWithCells="1">
              <from>
                <xdr:col>0</xdr:col>
                <xdr:colOff>95250</xdr:colOff>
                <xdr:row>0</xdr:row>
                <xdr:rowOff>44450</xdr:rowOff>
              </from>
              <to>
                <xdr:col>0</xdr:col>
                <xdr:colOff>781050</xdr:colOff>
                <xdr:row>2</xdr:row>
                <xdr:rowOff>95250</xdr:rowOff>
              </to>
            </anchor>
          </objectPr>
        </oleObject>
      </mc:Choice>
      <mc:Fallback>
        <oleObject progId="PBrush" shapeId="4258" r:id="rId4"/>
      </mc:Fallback>
    </mc:AlternateContent>
  </oleObjects>
  <mc:AlternateContent xmlns:mc="http://schemas.openxmlformats.org/markup-compatibility/2006">
    <mc:Choice Requires="x14">
      <controls>
        <mc:AlternateContent xmlns:mc="http://schemas.openxmlformats.org/markup-compatibility/2006">
          <mc:Choice Requires="x14">
            <control shapeId="4190" r:id="rId6" name="Button 94">
              <controlPr defaultSize="0" print="0" autoFill="0" autoPict="0" macro="[0]!Ordina">
                <anchor moveWithCells="1" sizeWithCells="1">
                  <from>
                    <xdr:col>0</xdr:col>
                    <xdr:colOff>488950</xdr:colOff>
                    <xdr:row>3</xdr:row>
                    <xdr:rowOff>266700</xdr:rowOff>
                  </from>
                  <to>
                    <xdr:col>1</xdr:col>
                    <xdr:colOff>285750</xdr:colOff>
                    <xdr:row>5</xdr:row>
                    <xdr:rowOff>222250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pageSetUpPr fitToPage="1"/>
  </sheetPr>
  <dimension ref="A1:CA85"/>
  <sheetViews>
    <sheetView showRowColHeaders="0" zoomScale="70" zoomScaleNormal="70" workbookViewId="0">
      <pane ySplit="13" topLeftCell="A14" activePane="bottomLeft" state="frozen"/>
      <selection pane="bottomLeft" sqref="A1:U1"/>
    </sheetView>
  </sheetViews>
  <sheetFormatPr defaultColWidth="9" defaultRowHeight="15.5"/>
  <cols>
    <col min="1" max="1" width="4.25" style="239" customWidth="1"/>
    <col min="2" max="2" width="37.08203125" style="65" customWidth="1"/>
    <col min="3" max="3" width="7.25" style="65" customWidth="1"/>
    <col min="4" max="4" width="12.08203125" style="65" customWidth="1"/>
    <col min="5" max="5" width="10.08203125" style="301" hidden="1" customWidth="1"/>
    <col min="6" max="6" width="12.08203125" style="65" customWidth="1"/>
    <col min="7" max="7" width="12.25" style="65" bestFit="1" customWidth="1"/>
    <col min="8" max="8" width="8.33203125" style="65" customWidth="1"/>
    <col min="9" max="9" width="8.75" style="65" customWidth="1"/>
    <col min="10" max="10" width="8.33203125" style="65" customWidth="1"/>
    <col min="11" max="11" width="10.5" style="65" customWidth="1"/>
    <col min="12" max="12" width="7.58203125" style="65" customWidth="1"/>
    <col min="13" max="13" width="9.08203125" style="65" customWidth="1"/>
    <col min="14" max="14" width="9.33203125" style="65" customWidth="1"/>
    <col min="15" max="15" width="8.58203125" style="65" customWidth="1"/>
    <col min="16" max="16" width="9.75" style="65" bestFit="1" customWidth="1"/>
    <col min="17" max="17" width="8.58203125" style="65" customWidth="1"/>
    <col min="18" max="18" width="12.83203125" style="65" bestFit="1" customWidth="1"/>
    <col min="19" max="19" width="11.25" style="65" customWidth="1"/>
    <col min="20" max="20" width="11.58203125" style="65" customWidth="1"/>
    <col min="21" max="21" width="10.25" style="65" customWidth="1"/>
    <col min="22" max="22" width="9" style="95"/>
    <col min="23" max="32" width="9" style="65"/>
    <col min="33" max="33" width="6.5" style="65" customWidth="1"/>
    <col min="34" max="34" width="6.33203125" style="65" customWidth="1"/>
    <col min="35" max="35" width="4.83203125" style="65" customWidth="1"/>
    <col min="36" max="37" width="5.83203125" style="65" customWidth="1"/>
    <col min="38" max="38" width="6.83203125" style="242" customWidth="1"/>
    <col min="39" max="39" width="6" style="242" customWidth="1"/>
    <col min="40" max="40" width="6.5" style="242" customWidth="1"/>
    <col min="41" max="41" width="5.83203125" style="242" customWidth="1"/>
    <col min="42" max="42" width="4.83203125" style="242" customWidth="1"/>
    <col min="43" max="46" width="6.83203125" style="242" customWidth="1"/>
    <col min="47" max="47" width="7.83203125" style="242" customWidth="1"/>
    <col min="48" max="52" width="9" style="242"/>
    <col min="53" max="53" width="0" style="242" hidden="1" customWidth="1"/>
    <col min="54" max="16384" width="9" style="242"/>
  </cols>
  <sheetData>
    <row r="1" spans="1:79" ht="63" customHeight="1">
      <c r="B1" s="310" t="s">
        <v>184</v>
      </c>
      <c r="C1" s="242"/>
      <c r="D1" s="95"/>
      <c r="E1" s="240"/>
      <c r="F1" s="442" t="s">
        <v>54</v>
      </c>
      <c r="G1" s="242"/>
      <c r="H1" s="95"/>
      <c r="I1" s="95"/>
      <c r="J1" s="95"/>
      <c r="K1" s="95"/>
      <c r="L1" s="95"/>
      <c r="M1" s="95"/>
      <c r="N1" s="95"/>
      <c r="O1" s="95"/>
      <c r="P1" s="95"/>
      <c r="Q1" s="95"/>
      <c r="R1" s="95"/>
      <c r="S1" s="95"/>
      <c r="T1" s="95"/>
      <c r="U1" s="95"/>
    </row>
    <row r="2" spans="1:79" ht="22" customHeight="1">
      <c r="B2" s="95"/>
      <c r="C2" s="95"/>
      <c r="D2" s="95"/>
      <c r="E2" s="240"/>
      <c r="F2" s="95"/>
      <c r="G2" s="241"/>
      <c r="H2" s="95"/>
      <c r="I2" s="14"/>
      <c r="J2" s="466" t="s">
        <v>73</v>
      </c>
      <c r="K2" s="467"/>
      <c r="L2" s="467"/>
      <c r="M2" s="468"/>
      <c r="N2" s="19"/>
      <c r="O2" s="466" t="s">
        <v>171</v>
      </c>
      <c r="P2" s="467"/>
      <c r="Q2" s="467"/>
      <c r="R2" s="468"/>
      <c r="S2" s="14"/>
      <c r="T2" s="243"/>
      <c r="U2" s="95"/>
    </row>
    <row r="3" spans="1:79">
      <c r="B3" s="95"/>
      <c r="C3" s="95"/>
      <c r="D3" s="95"/>
      <c r="E3" s="240"/>
      <c r="F3" s="95"/>
      <c r="G3" s="95"/>
      <c r="H3" s="95"/>
      <c r="I3" s="14"/>
      <c r="J3" s="18"/>
      <c r="K3" s="18"/>
      <c r="L3" s="18"/>
      <c r="M3" s="18"/>
      <c r="N3" s="19"/>
      <c r="O3" s="18"/>
      <c r="P3" s="18"/>
      <c r="Q3" s="18"/>
      <c r="R3" s="18"/>
      <c r="S3" s="14"/>
      <c r="T3" s="244"/>
      <c r="U3" s="95"/>
    </row>
    <row r="4" spans="1:79" ht="22" customHeight="1">
      <c r="B4" s="95"/>
      <c r="C4" s="95"/>
      <c r="D4" s="95"/>
      <c r="E4" s="240"/>
      <c r="F4" s="95"/>
      <c r="G4" s="95"/>
      <c r="H4" s="95"/>
      <c r="I4" s="14"/>
      <c r="J4" s="466" t="s">
        <v>181</v>
      </c>
      <c r="K4" s="467"/>
      <c r="L4" s="467"/>
      <c r="M4" s="468"/>
      <c r="N4" s="138"/>
      <c r="O4" s="466" t="s">
        <v>182</v>
      </c>
      <c r="P4" s="467"/>
      <c r="Q4" s="467"/>
      <c r="R4" s="468"/>
      <c r="S4" s="14"/>
      <c r="T4" s="95"/>
      <c r="U4" s="95"/>
    </row>
    <row r="5" spans="1:79">
      <c r="B5" s="95"/>
      <c r="C5" s="95"/>
      <c r="D5" s="95"/>
      <c r="E5" s="240"/>
      <c r="F5" s="95"/>
      <c r="G5" s="95"/>
      <c r="H5" s="95"/>
      <c r="I5" s="14"/>
      <c r="J5" s="18"/>
      <c r="K5" s="18"/>
      <c r="L5" s="18"/>
      <c r="M5" s="18"/>
      <c r="N5" s="19"/>
      <c r="O5" s="18"/>
      <c r="P5" s="18"/>
      <c r="Q5" s="18"/>
      <c r="R5" s="18"/>
      <c r="S5" s="14"/>
      <c r="T5" s="95"/>
      <c r="U5" s="95"/>
    </row>
    <row r="6" spans="1:79" ht="22" customHeight="1">
      <c r="B6" s="95"/>
      <c r="C6" s="95"/>
      <c r="D6" s="95"/>
      <c r="E6" s="240"/>
      <c r="F6" s="95"/>
      <c r="G6" s="95"/>
      <c r="H6" s="95"/>
      <c r="I6" s="14"/>
      <c r="J6" s="466" t="s">
        <v>183</v>
      </c>
      <c r="K6" s="467"/>
      <c r="L6" s="467"/>
      <c r="M6" s="468"/>
      <c r="N6" s="19"/>
      <c r="O6" s="466" t="s">
        <v>185</v>
      </c>
      <c r="P6" s="467"/>
      <c r="Q6" s="467"/>
      <c r="R6" s="468"/>
      <c r="S6" s="139"/>
      <c r="T6" s="95"/>
      <c r="U6" s="95"/>
    </row>
    <row r="7" spans="1:79" ht="24" customHeight="1">
      <c r="C7" s="95"/>
      <c r="D7" s="95"/>
      <c r="E7" s="240"/>
      <c r="F7" s="95"/>
      <c r="G7" s="95"/>
      <c r="I7" s="95"/>
      <c r="J7" s="242"/>
      <c r="K7" s="95"/>
      <c r="L7" s="95"/>
      <c r="M7" s="95"/>
      <c r="N7" s="95"/>
      <c r="O7" s="95"/>
      <c r="P7" s="95"/>
      <c r="Q7" s="95"/>
      <c r="R7" s="95"/>
      <c r="S7" s="95"/>
      <c r="T7" s="95"/>
      <c r="U7" s="95"/>
    </row>
    <row r="8" spans="1:79" ht="27.75" customHeight="1">
      <c r="B8" s="307" t="s">
        <v>232</v>
      </c>
      <c r="C8" s="95"/>
      <c r="D8" s="95"/>
      <c r="E8" s="240"/>
      <c r="F8" s="95"/>
      <c r="G8" s="95"/>
      <c r="H8" s="95"/>
      <c r="I8" s="95"/>
      <c r="J8" s="95"/>
      <c r="K8" s="95"/>
      <c r="L8" s="95"/>
      <c r="M8" s="95"/>
      <c r="N8" s="95"/>
      <c r="O8" s="95"/>
      <c r="P8" s="95"/>
      <c r="Q8" s="95"/>
      <c r="R8" s="95"/>
      <c r="S8" s="95"/>
      <c r="T8" s="95"/>
      <c r="U8" s="95"/>
      <c r="BA8" s="242" t="s">
        <v>64</v>
      </c>
    </row>
    <row r="9" spans="1:79" ht="17.5">
      <c r="B9" s="95"/>
      <c r="C9" s="95"/>
      <c r="D9" s="95"/>
      <c r="E9" s="240"/>
      <c r="F9" s="245" t="s">
        <v>228</v>
      </c>
      <c r="G9" s="246" t="s">
        <v>229</v>
      </c>
      <c r="H9" s="246" t="s">
        <v>230</v>
      </c>
      <c r="I9" s="246" t="s">
        <v>6</v>
      </c>
      <c r="J9" s="246" t="s">
        <v>7</v>
      </c>
      <c r="K9" s="246" t="s">
        <v>8</v>
      </c>
      <c r="L9" s="246" t="s">
        <v>9</v>
      </c>
      <c r="M9" s="246" t="s">
        <v>10</v>
      </c>
      <c r="N9" s="246" t="s">
        <v>231</v>
      </c>
      <c r="O9" s="246" t="s">
        <v>12</v>
      </c>
      <c r="P9" s="246" t="s">
        <v>13</v>
      </c>
      <c r="Q9" s="246" t="s">
        <v>14</v>
      </c>
      <c r="R9" s="246" t="s">
        <v>15</v>
      </c>
      <c r="S9" s="246" t="s">
        <v>16</v>
      </c>
      <c r="T9" s="246" t="s">
        <v>17</v>
      </c>
      <c r="U9" s="246" t="s">
        <v>18</v>
      </c>
      <c r="BA9" s="242" t="s">
        <v>354</v>
      </c>
    </row>
    <row r="10" spans="1:79">
      <c r="B10" s="6" t="s">
        <v>139</v>
      </c>
      <c r="C10" s="95"/>
      <c r="D10" s="95"/>
      <c r="E10" s="240"/>
      <c r="F10" s="247">
        <f>Parametri!C18</f>
        <v>0</v>
      </c>
      <c r="G10" s="247">
        <f>Parametri!D18</f>
        <v>0</v>
      </c>
      <c r="H10" s="247">
        <f>Parametri!E18</f>
        <v>0</v>
      </c>
      <c r="I10" s="247">
        <f>Parametri!F18</f>
        <v>0</v>
      </c>
      <c r="J10" s="247">
        <f>Parametri!G18</f>
        <v>0</v>
      </c>
      <c r="K10" s="247">
        <f>Parametri!H18</f>
        <v>0</v>
      </c>
      <c r="L10" s="247">
        <f>Parametri!I18</f>
        <v>0</v>
      </c>
      <c r="M10" s="247">
        <f>Parametri!J18</f>
        <v>0</v>
      </c>
      <c r="N10" s="247">
        <f>Parametri!K18</f>
        <v>0</v>
      </c>
      <c r="O10" s="247">
        <f>Parametri!L18</f>
        <v>0</v>
      </c>
      <c r="P10" s="8">
        <f>Parametri!M18</f>
        <v>0</v>
      </c>
      <c r="Q10" s="8">
        <f>Parametri!N18</f>
        <v>0</v>
      </c>
      <c r="R10" s="8">
        <f>Parametri!O18</f>
        <v>0</v>
      </c>
      <c r="S10" s="8">
        <f>Parametri!P18</f>
        <v>0</v>
      </c>
      <c r="T10" s="8">
        <f>Parametri!Q18</f>
        <v>0</v>
      </c>
      <c r="U10" s="8">
        <f>Parametri!R18</f>
        <v>0</v>
      </c>
    </row>
    <row r="11" spans="1:79">
      <c r="B11" s="6" t="s">
        <v>140</v>
      </c>
      <c r="C11" s="95"/>
      <c r="D11" s="95"/>
      <c r="E11" s="240"/>
      <c r="F11" s="247">
        <f>F10-(Parametri!$C$18/(1+10^(Parametri!$B$42-6.35)))</f>
        <v>0</v>
      </c>
      <c r="G11" s="247">
        <f>Parametri!C48</f>
        <v>14</v>
      </c>
      <c r="H11" s="247">
        <f>Parametri!D48</f>
        <v>1</v>
      </c>
      <c r="I11" s="247">
        <f>Parametri!E48</f>
        <v>1</v>
      </c>
      <c r="J11" s="247">
        <f>Parametri!F48</f>
        <v>8</v>
      </c>
      <c r="K11" s="247">
        <f>Parametri!G48</f>
        <v>4</v>
      </c>
      <c r="L11" s="247">
        <f>Parametri!H48</f>
        <v>1.5</v>
      </c>
      <c r="M11" s="247">
        <f>Parametri!I48</f>
        <v>0</v>
      </c>
      <c r="N11" s="247">
        <f>Parametri!J48</f>
        <v>2.5</v>
      </c>
      <c r="O11" s="247">
        <f>Parametri!K48</f>
        <v>0</v>
      </c>
      <c r="P11" s="8">
        <f>Parametri!L48</f>
        <v>15</v>
      </c>
      <c r="Q11" s="8">
        <f>Parametri!M48</f>
        <v>20</v>
      </c>
      <c r="R11" s="8">
        <f>Parametri!N48</f>
        <v>1</v>
      </c>
      <c r="S11" s="8">
        <f>Parametri!O48</f>
        <v>5</v>
      </c>
      <c r="T11" s="8">
        <f>Parametri!P48</f>
        <v>10</v>
      </c>
      <c r="U11" s="8">
        <f>Parametri!Q48</f>
        <v>1</v>
      </c>
      <c r="X11" s="248"/>
      <c r="Y11" s="249"/>
      <c r="Z11" s="249"/>
      <c r="AA11" s="249"/>
      <c r="AB11" s="249"/>
      <c r="AC11" s="249"/>
      <c r="AD11" s="249"/>
      <c r="AE11" s="249"/>
      <c r="AF11" s="249"/>
      <c r="AG11" s="249"/>
      <c r="AH11" s="250"/>
      <c r="AI11" s="250"/>
      <c r="AJ11" s="250"/>
      <c r="AK11" s="250"/>
      <c r="AL11" s="250"/>
      <c r="AM11" s="250"/>
    </row>
    <row r="12" spans="1:79">
      <c r="B12" s="6" t="s">
        <v>141</v>
      </c>
      <c r="C12" s="6"/>
      <c r="D12" s="6"/>
      <c r="E12" s="251"/>
      <c r="F12" s="247">
        <f>F10-((F17*'Acidi &amp; concimi'!G10*('Acidi &amp; concimi'!I10/100/14.007*1000))+(F18*'Acidi &amp; concimi'!G11*('Acidi &amp; concimi'!K11*0.4365/100/30.974*1000))+(F19*'Acidi &amp; concimi'!G12*('Acidi &amp; concimi'!P12*0.4005/100/16.032*1000))+(F20*'Acidi &amp; concimi'!G13*('Acidi &amp; concimi'!Q13/100/35.453*1000)))</f>
        <v>0</v>
      </c>
      <c r="G12" s="247">
        <f t="shared" ref="G12:U12" si="0">SUM(G17:G71)+G10</f>
        <v>14</v>
      </c>
      <c r="H12" s="247">
        <f t="shared" si="0"/>
        <v>1.0017629053120498</v>
      </c>
      <c r="I12" s="247">
        <f t="shared" si="0"/>
        <v>1</v>
      </c>
      <c r="J12" s="247">
        <f t="shared" si="0"/>
        <v>8</v>
      </c>
      <c r="K12" s="247">
        <f t="shared" si="0"/>
        <v>4</v>
      </c>
      <c r="L12" s="247">
        <f t="shared" si="0"/>
        <v>1.5</v>
      </c>
      <c r="M12" s="247">
        <f t="shared" si="0"/>
        <v>1.0060637125952818E-2</v>
      </c>
      <c r="N12" s="247">
        <f t="shared" si="0"/>
        <v>2.5163461623522059</v>
      </c>
      <c r="O12" s="247">
        <f t="shared" si="0"/>
        <v>0</v>
      </c>
      <c r="P12" s="8">
        <f t="shared" si="0"/>
        <v>15.000000000000002</v>
      </c>
      <c r="Q12" s="8">
        <f t="shared" si="0"/>
        <v>20</v>
      </c>
      <c r="R12" s="8">
        <f t="shared" si="0"/>
        <v>1</v>
      </c>
      <c r="S12" s="8">
        <f t="shared" si="0"/>
        <v>5</v>
      </c>
      <c r="T12" s="8">
        <f t="shared" si="0"/>
        <v>10</v>
      </c>
      <c r="U12" s="8">
        <f t="shared" si="0"/>
        <v>1</v>
      </c>
      <c r="V12" s="6"/>
      <c r="W12" s="252"/>
      <c r="X12" s="248"/>
      <c r="Y12" s="253"/>
      <c r="Z12" s="253"/>
      <c r="AA12" s="253"/>
      <c r="AB12" s="253"/>
      <c r="AC12" s="253"/>
      <c r="AD12" s="253"/>
      <c r="AE12" s="253"/>
      <c r="AF12" s="253"/>
      <c r="AG12" s="253"/>
      <c r="AH12" s="248"/>
      <c r="AI12" s="254"/>
      <c r="AJ12" s="254"/>
      <c r="AK12" s="254"/>
      <c r="AL12" s="254"/>
      <c r="AM12" s="254"/>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row>
    <row r="13" spans="1:79" s="261" customFormat="1">
      <c r="A13" s="256"/>
      <c r="B13" s="248" t="s">
        <v>142</v>
      </c>
      <c r="C13" s="248"/>
      <c r="D13" s="248"/>
      <c r="E13" s="257"/>
      <c r="F13" s="258">
        <f>-F12+F11</f>
        <v>0</v>
      </c>
      <c r="G13" s="258">
        <f t="shared" ref="G13:R13" si="1">G12-G11</f>
        <v>0</v>
      </c>
      <c r="H13" s="258">
        <f t="shared" si="1"/>
        <v>1.7629053120498117E-3</v>
      </c>
      <c r="I13" s="258">
        <f t="shared" si="1"/>
        <v>0</v>
      </c>
      <c r="J13" s="258">
        <f t="shared" si="1"/>
        <v>0</v>
      </c>
      <c r="K13" s="258">
        <f t="shared" si="1"/>
        <v>0</v>
      </c>
      <c r="L13" s="258">
        <f t="shared" si="1"/>
        <v>0</v>
      </c>
      <c r="M13" s="258">
        <f t="shared" si="1"/>
        <v>1.0060637125952818E-2</v>
      </c>
      <c r="N13" s="247">
        <f t="shared" si="1"/>
        <v>1.6346162352205873E-2</v>
      </c>
      <c r="O13" s="247">
        <f t="shared" si="1"/>
        <v>0</v>
      </c>
      <c r="P13" s="259">
        <f t="shared" si="1"/>
        <v>0</v>
      </c>
      <c r="Q13" s="259">
        <f t="shared" si="1"/>
        <v>0</v>
      </c>
      <c r="R13" s="259">
        <f t="shared" si="1"/>
        <v>0</v>
      </c>
      <c r="S13" s="259">
        <f>S12-S11</f>
        <v>0</v>
      </c>
      <c r="T13" s="259">
        <f>T12-T11</f>
        <v>0</v>
      </c>
      <c r="U13" s="259">
        <f>U12-U11</f>
        <v>0</v>
      </c>
      <c r="V13" s="248"/>
      <c r="W13" s="260"/>
      <c r="X13" s="226"/>
      <c r="Y13" s="226"/>
      <c r="Z13" s="226"/>
      <c r="AA13" s="226"/>
      <c r="AB13" s="226"/>
      <c r="AC13" s="226"/>
      <c r="AD13" s="226"/>
      <c r="AE13" s="226"/>
      <c r="AF13" s="226"/>
      <c r="AG13" s="226"/>
      <c r="AH13" s="226"/>
      <c r="AI13" s="226"/>
      <c r="AJ13" s="226"/>
      <c r="AK13" s="226"/>
      <c r="AL13" s="226"/>
      <c r="AM13" s="226"/>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row>
    <row r="14" spans="1:79">
      <c r="B14" s="95"/>
      <c r="C14" s="95"/>
      <c r="D14" s="95"/>
      <c r="E14" s="240"/>
      <c r="F14" s="95"/>
      <c r="G14" s="95"/>
      <c r="H14" s="95"/>
      <c r="I14" s="95"/>
      <c r="J14" s="95"/>
      <c r="K14" s="95"/>
      <c r="L14" s="95"/>
      <c r="M14" s="95"/>
      <c r="N14" s="95"/>
      <c r="O14" s="95"/>
      <c r="P14" s="95"/>
      <c r="Q14" s="95"/>
      <c r="R14" s="95"/>
      <c r="S14" s="95"/>
      <c r="T14" s="95"/>
      <c r="U14" s="95"/>
    </row>
    <row r="15" spans="1:79" ht="18">
      <c r="B15" s="263" t="s">
        <v>233</v>
      </c>
      <c r="C15" s="95"/>
      <c r="D15" s="95"/>
      <c r="E15" s="240"/>
      <c r="F15" s="78"/>
      <c r="G15" s="264" t="str">
        <f>IF((F$13&lt;-0.01),"Need acid!",IF((F$13&gt;0.01),"Reduce the amount of acids","OK"))</f>
        <v>OK</v>
      </c>
      <c r="H15" s="265"/>
      <c r="I15" s="265"/>
      <c r="J15" s="265"/>
      <c r="K15" s="265"/>
      <c r="L15" s="265"/>
      <c r="M15" s="266"/>
      <c r="N15" s="249"/>
      <c r="O15" s="249"/>
      <c r="P15" s="249"/>
      <c r="Q15" s="95"/>
      <c r="R15" s="95"/>
      <c r="S15" s="95"/>
      <c r="T15" s="95"/>
      <c r="U15" s="95"/>
    </row>
    <row r="16" spans="1:79">
      <c r="B16" s="95"/>
      <c r="C16" s="6" t="s">
        <v>137</v>
      </c>
      <c r="D16" s="305" t="s">
        <v>138</v>
      </c>
      <c r="E16" s="306"/>
      <c r="F16" s="305" t="s">
        <v>185</v>
      </c>
      <c r="G16" s="267"/>
      <c r="H16" s="267"/>
      <c r="I16" s="267"/>
      <c r="J16" s="267"/>
      <c r="K16" s="267"/>
      <c r="L16" s="267"/>
      <c r="M16" s="267"/>
      <c r="N16" s="267"/>
      <c r="O16" s="267"/>
      <c r="P16" s="267"/>
      <c r="Q16" s="268"/>
      <c r="R16" s="268"/>
      <c r="S16" s="268"/>
      <c r="T16" s="268"/>
      <c r="U16" s="268"/>
      <c r="V16" s="268"/>
    </row>
    <row r="17" spans="1:22">
      <c r="A17" s="269" t="s">
        <v>354</v>
      </c>
      <c r="B17" s="6" t="str">
        <f>'Acidi &amp; concimi'!B10</f>
        <v>Nitric acid</v>
      </c>
      <c r="C17" s="6" t="s">
        <v>72</v>
      </c>
      <c r="D17" s="270">
        <f>-F13/('Acidi &amp; concimi'!I10/100/14.007*1000)/'Acidi &amp; concimi'!G10</f>
        <v>0</v>
      </c>
      <c r="E17" s="271">
        <f>IF(A17="Y",IF(A18="Y",IF(A19="Y",IF(D17&gt;0,D17/3,0),IF(D17&gt;0,D17/2,0)),IF(A19="Y",IF(D17&gt;0,D17/2,0),IF(D17&gt;0,D17,0))),0)</f>
        <v>0</v>
      </c>
      <c r="F17" s="272">
        <v>0</v>
      </c>
      <c r="G17" s="273">
        <f>$F17*'Acidi &amp; concimi'!G10*'Acidi &amp; concimi'!AI10*1000</f>
        <v>0</v>
      </c>
      <c r="H17" s="267"/>
      <c r="I17" s="267"/>
      <c r="J17" s="267"/>
      <c r="K17" s="267"/>
      <c r="L17" s="267"/>
      <c r="M17" s="267"/>
      <c r="N17" s="267"/>
      <c r="O17" s="267"/>
      <c r="P17" s="267"/>
      <c r="Q17" s="268"/>
      <c r="R17" s="268"/>
      <c r="S17" s="268"/>
      <c r="T17" s="268"/>
      <c r="U17" s="268"/>
      <c r="V17" s="268"/>
    </row>
    <row r="18" spans="1:22">
      <c r="A18" s="269" t="s">
        <v>64</v>
      </c>
      <c r="B18" s="6" t="str">
        <f>'Acidi &amp; concimi'!B11</f>
        <v>Phosphoric acid</v>
      </c>
      <c r="C18" s="6" t="s">
        <v>72</v>
      </c>
      <c r="D18" s="270">
        <f>-F13/('Acidi &amp; concimi'!K11*0.4365/100/30.974*1000)/'Acidi &amp; concimi'!G11</f>
        <v>0</v>
      </c>
      <c r="E18" s="271">
        <f>IF(A18="Y",IF(A19="Y",IF(A20="Y",IF(D18&gt;0,D18/3,0),IF(D18&gt;0,D18/2,0)),IF(A20="Y",IF(D18&gt;0,D18/2,0),IF(D18&gt;0,D18,0))),0)</f>
        <v>0</v>
      </c>
      <c r="F18" s="272">
        <v>0</v>
      </c>
      <c r="G18" s="267"/>
      <c r="H18" s="267"/>
      <c r="I18" s="274">
        <f>$F18*'Acidi &amp; concimi'!G11*'Acidi &amp; concimi'!AK11*1000</f>
        <v>0</v>
      </c>
      <c r="J18" s="267"/>
      <c r="K18" s="267"/>
      <c r="L18" s="267"/>
      <c r="M18" s="267"/>
      <c r="N18" s="267"/>
      <c r="O18" s="267"/>
      <c r="P18" s="267"/>
      <c r="Q18" s="268"/>
      <c r="R18" s="268"/>
      <c r="S18" s="268"/>
      <c r="T18" s="268"/>
      <c r="U18" s="268"/>
      <c r="V18" s="268"/>
    </row>
    <row r="19" spans="1:22">
      <c r="A19" s="269" t="s">
        <v>64</v>
      </c>
      <c r="B19" s="6" t="str">
        <f>'Acidi &amp; concimi'!B12</f>
        <v>Sulphuric acid</v>
      </c>
      <c r="C19" s="6" t="s">
        <v>72</v>
      </c>
      <c r="D19" s="270">
        <f>-F13/('Acidi &amp; concimi'!P12*0.4005/100/16.032*1000)/'Acidi &amp; concimi'!G12</f>
        <v>0</v>
      </c>
      <c r="E19" s="271">
        <f>IF(A19="Y",IF(A20="Y",IF(A21="Y",IF(D19&gt;0,D19/3,0),IF(D19&gt;0,D19/2,0)),IF(A21="Y",IF(D19&gt;0,D19/2,0),IF(D19&gt;0,D19,0))),0)</f>
        <v>0</v>
      </c>
      <c r="F19" s="272">
        <v>0</v>
      </c>
      <c r="G19" s="267"/>
      <c r="H19" s="267"/>
      <c r="I19" s="267"/>
      <c r="J19" s="267"/>
      <c r="K19" s="267"/>
      <c r="L19" s="267"/>
      <c r="M19" s="267"/>
      <c r="N19" s="274">
        <f>$F19*'Acidi &amp; concimi'!G12*'Acidi &amp; concimi'!AP12*1000</f>
        <v>0</v>
      </c>
      <c r="O19" s="267"/>
      <c r="P19" s="267"/>
      <c r="Q19" s="268"/>
      <c r="R19" s="268"/>
      <c r="S19" s="268"/>
      <c r="T19" s="268"/>
      <c r="U19" s="268"/>
      <c r="V19" s="268"/>
    </row>
    <row r="20" spans="1:22">
      <c r="A20" s="275"/>
      <c r="B20" s="6" t="str">
        <f>'Acidi &amp; concimi'!B13</f>
        <v>Chloridric acid</v>
      </c>
      <c r="C20" s="6" t="s">
        <v>72</v>
      </c>
      <c r="D20" s="270">
        <f>-F13/('Acidi &amp; concimi'!Q13/100/35.453*1000)/'Acidi &amp; concimi'!G13</f>
        <v>0</v>
      </c>
      <c r="E20" s="271">
        <f>IF(A20="Y",IF(A21="Y",IF(A22="Y",D20/3,D20/2),IF(A22="Y",D20/2,D20)),0)</f>
        <v>0</v>
      </c>
      <c r="F20" s="272"/>
      <c r="G20" s="267"/>
      <c r="H20" s="267"/>
      <c r="I20" s="267"/>
      <c r="J20" s="276"/>
      <c r="K20" s="267"/>
      <c r="L20" s="267"/>
      <c r="M20" s="267"/>
      <c r="N20" s="267"/>
      <c r="O20" s="274">
        <f>$F20*'Acidi &amp; concimi'!G13*'Acidi &amp; concimi'!AQ13*1000</f>
        <v>0</v>
      </c>
      <c r="P20" s="267"/>
      <c r="Q20" s="268"/>
      <c r="R20" s="276"/>
      <c r="S20" s="268"/>
      <c r="T20" s="268"/>
      <c r="U20" s="268"/>
      <c r="V20" s="268"/>
    </row>
    <row r="21" spans="1:22">
      <c r="B21" s="6"/>
      <c r="C21" s="6"/>
      <c r="D21" s="247"/>
      <c r="E21" s="277"/>
      <c r="F21" s="268"/>
      <c r="G21" s="267"/>
      <c r="H21" s="267"/>
      <c r="I21" s="267"/>
      <c r="J21" s="267"/>
      <c r="K21" s="267"/>
      <c r="L21" s="267"/>
      <c r="M21" s="267"/>
      <c r="N21" s="267"/>
      <c r="O21" s="278"/>
      <c r="P21" s="267"/>
      <c r="Q21" s="268"/>
      <c r="R21" s="268"/>
      <c r="S21" s="268"/>
      <c r="T21" s="268"/>
      <c r="U21" s="268"/>
      <c r="V21" s="268"/>
    </row>
    <row r="22" spans="1:22" ht="18">
      <c r="B22" s="263"/>
      <c r="C22" s="95"/>
      <c r="D22" s="268"/>
      <c r="E22" s="279"/>
      <c r="F22" s="268"/>
      <c r="G22" s="267"/>
      <c r="H22" s="267"/>
      <c r="I22" s="267"/>
      <c r="J22" s="8"/>
      <c r="K22" s="267"/>
      <c r="L22" s="267"/>
      <c r="M22" s="267"/>
      <c r="N22" s="267"/>
      <c r="O22" s="267"/>
      <c r="P22" s="267"/>
      <c r="Q22" s="267"/>
      <c r="R22" s="267"/>
      <c r="S22" s="267"/>
      <c r="T22" s="267"/>
      <c r="U22" s="267"/>
      <c r="V22" s="268"/>
    </row>
    <row r="23" spans="1:22" ht="18">
      <c r="B23" s="263" t="s">
        <v>234</v>
      </c>
      <c r="C23" s="95"/>
      <c r="D23" s="280"/>
      <c r="E23" s="281"/>
      <c r="F23" s="268"/>
      <c r="G23" s="267"/>
      <c r="H23" s="267"/>
      <c r="I23" s="267"/>
      <c r="J23" s="267"/>
      <c r="K23" s="267"/>
      <c r="L23" s="267"/>
      <c r="M23" s="267"/>
      <c r="N23" s="267"/>
      <c r="O23" s="267"/>
      <c r="P23" s="267"/>
      <c r="Q23" s="268"/>
      <c r="R23" s="268"/>
      <c r="S23" s="268"/>
      <c r="T23" s="268"/>
      <c r="U23" s="268"/>
      <c r="V23" s="268"/>
    </row>
    <row r="24" spans="1:22">
      <c r="B24" s="6" t="str">
        <f>'Acidi &amp; concimi'!B16</f>
        <v>Water Soluble Fertilizer  1</v>
      </c>
      <c r="C24" s="6" t="s">
        <v>69</v>
      </c>
      <c r="D24" s="282" t="e">
        <f>-$I$13/'Acidi &amp; concimi'!AK16</f>
        <v>#DIV/0!</v>
      </c>
      <c r="E24" s="283"/>
      <c r="F24" s="284"/>
      <c r="G24" s="273">
        <f>$F24*'Acidi &amp; concimi'!AI16</f>
        <v>0</v>
      </c>
      <c r="H24" s="273">
        <f>$F24*'Acidi &amp; concimi'!AJ16</f>
        <v>0</v>
      </c>
      <c r="I24" s="273">
        <f>$F24*'Acidi &amp; concimi'!AK16</f>
        <v>0</v>
      </c>
      <c r="J24" s="273">
        <f>$F24*'Acidi &amp; concimi'!AL16</f>
        <v>0</v>
      </c>
      <c r="K24" s="273">
        <f>$F24*'Acidi &amp; concimi'!AM16</f>
        <v>0</v>
      </c>
      <c r="L24" s="273">
        <f>$F24*'Acidi &amp; concimi'!AN16</f>
        <v>0</v>
      </c>
      <c r="M24" s="273">
        <f>$F24*'Acidi &amp; concimi'!AO16</f>
        <v>0</v>
      </c>
      <c r="N24" s="273">
        <f>$F24*'Acidi &amp; concimi'!AP16</f>
        <v>0</v>
      </c>
      <c r="O24" s="273">
        <f>$F24*'Acidi &amp; concimi'!AQ16</f>
        <v>0</v>
      </c>
      <c r="P24" s="285">
        <f>$F24*'Acidi &amp; concimi'!AR16*1000</f>
        <v>0</v>
      </c>
      <c r="Q24" s="285">
        <f>$F24*'Acidi &amp; concimi'!AS16*1000</f>
        <v>0</v>
      </c>
      <c r="R24" s="285">
        <f>$F24*'Acidi &amp; concimi'!AT16*1000</f>
        <v>0</v>
      </c>
      <c r="S24" s="285">
        <f>$F24*'Acidi &amp; concimi'!AU16*1000</f>
        <v>0</v>
      </c>
      <c r="T24" s="285">
        <f>$F24*'Acidi &amp; concimi'!AV16*1000</f>
        <v>0</v>
      </c>
      <c r="U24" s="285">
        <f>$F24*'Acidi &amp; concimi'!AW16*1000</f>
        <v>0</v>
      </c>
      <c r="V24" s="268"/>
    </row>
    <row r="25" spans="1:22">
      <c r="B25" s="6" t="str">
        <f>'Acidi &amp; concimi'!B17</f>
        <v>Water Soluble Fertilizer 2</v>
      </c>
      <c r="C25" s="6" t="s">
        <v>69</v>
      </c>
      <c r="D25" s="282" t="e">
        <f>-$I$13/'Acidi &amp; concimi'!AK17</f>
        <v>#DIV/0!</v>
      </c>
      <c r="E25" s="283"/>
      <c r="F25" s="284"/>
      <c r="G25" s="273">
        <f>$F25*'Acidi &amp; concimi'!AI17</f>
        <v>0</v>
      </c>
      <c r="H25" s="273">
        <f>$F25*'Acidi &amp; concimi'!AJ17</f>
        <v>0</v>
      </c>
      <c r="I25" s="273">
        <f>$F25*'Acidi &amp; concimi'!AK17</f>
        <v>0</v>
      </c>
      <c r="J25" s="273">
        <f>$F25*'Acidi &amp; concimi'!AL17</f>
        <v>0</v>
      </c>
      <c r="K25" s="273">
        <f>$F25*'Acidi &amp; concimi'!AM17</f>
        <v>0</v>
      </c>
      <c r="L25" s="273">
        <f>$F25*'Acidi &amp; concimi'!AN17</f>
        <v>0</v>
      </c>
      <c r="M25" s="273">
        <f>$F25*'Acidi &amp; concimi'!AO17</f>
        <v>0</v>
      </c>
      <c r="N25" s="273">
        <f>$F25*'Acidi &amp; concimi'!AP17</f>
        <v>0</v>
      </c>
      <c r="O25" s="273">
        <f>$F25*'Acidi &amp; concimi'!AQ17</f>
        <v>0</v>
      </c>
      <c r="P25" s="285">
        <f>$F25*'Acidi &amp; concimi'!AR17*1000</f>
        <v>0</v>
      </c>
      <c r="Q25" s="285">
        <f>$F25*'Acidi &amp; concimi'!AS17*1000</f>
        <v>0</v>
      </c>
      <c r="R25" s="285">
        <f>$F25*'Acidi &amp; concimi'!AT17*1000</f>
        <v>0</v>
      </c>
      <c r="S25" s="285">
        <f>$F25*'Acidi &amp; concimi'!AU17*1000</f>
        <v>0</v>
      </c>
      <c r="T25" s="285">
        <f>$F25*'Acidi &amp; concimi'!AV17*1000</f>
        <v>0</v>
      </c>
      <c r="U25" s="285">
        <f>$F25*'Acidi &amp; concimi'!AW17*1000</f>
        <v>0</v>
      </c>
      <c r="V25" s="268"/>
    </row>
    <row r="26" spans="1:22">
      <c r="B26" s="6" t="str">
        <f>'Acidi &amp; concimi'!B18</f>
        <v>Water Soluble Fertilizer 3</v>
      </c>
      <c r="C26" s="6" t="s">
        <v>69</v>
      </c>
      <c r="D26" s="282" t="e">
        <f>-$I$13/'Acidi &amp; concimi'!AK18</f>
        <v>#DIV/0!</v>
      </c>
      <c r="E26" s="283"/>
      <c r="F26" s="284"/>
      <c r="G26" s="273">
        <f>$F26*'Acidi &amp; concimi'!AI18</f>
        <v>0</v>
      </c>
      <c r="H26" s="273">
        <f>$F26*'Acidi &amp; concimi'!AJ18</f>
        <v>0</v>
      </c>
      <c r="I26" s="273">
        <f>$F26*'Acidi &amp; concimi'!AK18</f>
        <v>0</v>
      </c>
      <c r="J26" s="273">
        <f>$F26*'Acidi &amp; concimi'!AL18</f>
        <v>0</v>
      </c>
      <c r="K26" s="273">
        <f>$F26*'Acidi &amp; concimi'!AM18</f>
        <v>0</v>
      </c>
      <c r="L26" s="273">
        <f>$F26*'Acidi &amp; concimi'!AN18</f>
        <v>0</v>
      </c>
      <c r="M26" s="273">
        <f>$F26*'Acidi &amp; concimi'!AO18</f>
        <v>0</v>
      </c>
      <c r="N26" s="273">
        <f>$F26*'Acidi &amp; concimi'!AP18</f>
        <v>0</v>
      </c>
      <c r="O26" s="273">
        <f>$F26*'Acidi &amp; concimi'!AQ18</f>
        <v>0</v>
      </c>
      <c r="P26" s="285">
        <f>$F26*'Acidi &amp; concimi'!AR18*1000</f>
        <v>0</v>
      </c>
      <c r="Q26" s="285">
        <f>$F26*'Acidi &amp; concimi'!AS18*1000</f>
        <v>0</v>
      </c>
      <c r="R26" s="285">
        <f>$F26*'Acidi &amp; concimi'!AT18*1000</f>
        <v>0</v>
      </c>
      <c r="S26" s="285">
        <f>$F26*'Acidi &amp; concimi'!AU18*1000</f>
        <v>0</v>
      </c>
      <c r="T26" s="285">
        <f>$F26*'Acidi &amp; concimi'!AV18*1000</f>
        <v>0</v>
      </c>
      <c r="U26" s="285">
        <f>$F26*'Acidi &amp; concimi'!AW18*1000</f>
        <v>0</v>
      </c>
      <c r="V26" s="268"/>
    </row>
    <row r="27" spans="1:22">
      <c r="B27" s="95"/>
      <c r="C27" s="95"/>
      <c r="D27" s="268"/>
      <c r="E27" s="279"/>
      <c r="F27" s="268"/>
      <c r="G27" s="95"/>
      <c r="H27" s="95"/>
      <c r="I27" s="95"/>
      <c r="J27" s="95"/>
      <c r="K27" s="95"/>
      <c r="L27" s="95"/>
      <c r="M27" s="95"/>
      <c r="N27" s="95"/>
      <c r="O27" s="95"/>
      <c r="P27" s="95"/>
      <c r="Q27" s="95"/>
      <c r="R27" s="95"/>
      <c r="S27" s="95"/>
      <c r="T27" s="95"/>
      <c r="U27" s="95"/>
    </row>
    <row r="28" spans="1:22" ht="18">
      <c r="B28" s="263" t="s">
        <v>235</v>
      </c>
      <c r="C28" s="6"/>
      <c r="D28" s="5"/>
      <c r="E28" s="7"/>
      <c r="F28" s="286" t="str">
        <f>IF((K$10-K$11)&gt;0.1,"High calcium content in the water!!",IF((K$13&lt;-0.10501),"Not balanced!",IF((K$13&gt;0.105),"Reduce the calcium salts ","OK")))</f>
        <v>OK</v>
      </c>
      <c r="G28" s="287"/>
      <c r="H28" s="287"/>
      <c r="I28" s="287"/>
      <c r="J28" s="287"/>
      <c r="K28" s="287"/>
      <c r="L28" s="287"/>
      <c r="M28" s="287"/>
      <c r="N28" s="287"/>
      <c r="O28" s="287"/>
      <c r="P28" s="287"/>
      <c r="Q28" s="287"/>
      <c r="R28" s="287"/>
      <c r="S28" s="287"/>
      <c r="T28" s="288"/>
      <c r="U28" s="6"/>
    </row>
    <row r="29" spans="1:22">
      <c r="A29" s="269" t="s">
        <v>354</v>
      </c>
      <c r="B29" s="6" t="str">
        <f>'Acidi &amp; concimi'!B20</f>
        <v xml:space="preserve">Calcium nitrate </v>
      </c>
      <c r="C29" s="6" t="s">
        <v>69</v>
      </c>
      <c r="D29" s="282">
        <f>-$K$13/'Acidi &amp; concimi'!AM20</f>
        <v>0</v>
      </c>
      <c r="E29" s="283">
        <f>IF(A29="Y",IF(A30="Y",IF(A31="Y",IF(D29&gt;0,D29/3,0),IF(D29&gt;0,D29/2,0)),IF(A31="Y",IF(D29&gt;0,D29/2,0),IF(D29&gt;0,D29,0))),0)</f>
        <v>0</v>
      </c>
      <c r="F29" s="284">
        <v>862.39913932221623</v>
      </c>
      <c r="G29" s="274">
        <f>$F29*'Acidi &amp; concimi'!AI20</f>
        <v>8.8043890142840677</v>
      </c>
      <c r="H29" s="274">
        <f>$F29*'Acidi &amp; concimi'!AJ20</f>
        <v>0.80039900129855146</v>
      </c>
      <c r="I29" s="274">
        <f>$F29*'Acidi &amp; concimi'!AK20</f>
        <v>0</v>
      </c>
      <c r="J29" s="274">
        <f>$F29*'Acidi &amp; concimi'!AL20</f>
        <v>0</v>
      </c>
      <c r="K29" s="274">
        <f>$F29*'Acidi &amp; concimi'!AM20</f>
        <v>4</v>
      </c>
      <c r="L29" s="274">
        <f>$F29*'Acidi &amp; concimi'!AN20</f>
        <v>0</v>
      </c>
      <c r="M29" s="274">
        <f>$F29*'Acidi &amp; concimi'!AO20</f>
        <v>0</v>
      </c>
      <c r="N29" s="274">
        <f>$F29*'Acidi &amp; concimi'!AP20</f>
        <v>0</v>
      </c>
      <c r="O29" s="274">
        <f>$F29*'Acidi &amp; concimi'!AQ20</f>
        <v>0</v>
      </c>
      <c r="P29" s="285">
        <f>$F29*'Acidi &amp; concimi'!AR20*1000</f>
        <v>0</v>
      </c>
      <c r="Q29" s="285">
        <f>$F29*'Acidi &amp; concimi'!AS20*1000</f>
        <v>0</v>
      </c>
      <c r="R29" s="285">
        <f>$F29*'Acidi &amp; concimi'!AT20*1000</f>
        <v>0</v>
      </c>
      <c r="S29" s="285">
        <f>$F29*'Acidi &amp; concimi'!AU20*1000</f>
        <v>0</v>
      </c>
      <c r="T29" s="285">
        <f>$F29*'Acidi &amp; concimi'!AV20*1000</f>
        <v>0</v>
      </c>
      <c r="U29" s="285">
        <f>$F29*'Acidi &amp; concimi'!AW20*1000</f>
        <v>0</v>
      </c>
      <c r="V29" s="268"/>
    </row>
    <row r="30" spans="1:22">
      <c r="A30" s="269" t="s">
        <v>64</v>
      </c>
      <c r="B30" s="6" t="str">
        <f>'Acidi &amp; concimi'!B21</f>
        <v xml:space="preserve">Calcium nitrate reagent pure </v>
      </c>
      <c r="C30" s="6" t="s">
        <v>69</v>
      </c>
      <c r="D30" s="282">
        <f>-$K$13/'Acidi &amp; concimi'!AM21</f>
        <v>0</v>
      </c>
      <c r="E30" s="283">
        <f>IF(A30="Y",IF(A31="Y",IF(D30&gt;0,D30/2,0),IF(D30&gt;0,D30,0)),0)</f>
        <v>0</v>
      </c>
      <c r="F30" s="284">
        <v>0</v>
      </c>
      <c r="G30" s="274">
        <f>$F30*'Acidi &amp; concimi'!AI21</f>
        <v>0</v>
      </c>
      <c r="H30" s="274">
        <f>$F30*'Acidi &amp; concimi'!AJ21</f>
        <v>0</v>
      </c>
      <c r="I30" s="274">
        <f>$F30*'Acidi &amp; concimi'!AK21</f>
        <v>0</v>
      </c>
      <c r="J30" s="274">
        <f>$F30*'Acidi &amp; concimi'!AL21</f>
        <v>0</v>
      </c>
      <c r="K30" s="274">
        <f>$F30*'Acidi &amp; concimi'!AM21</f>
        <v>0</v>
      </c>
      <c r="L30" s="274">
        <f>$F30*'Acidi &amp; concimi'!AN21</f>
        <v>0</v>
      </c>
      <c r="M30" s="274">
        <f>$F30*'Acidi &amp; concimi'!AO21</f>
        <v>0</v>
      </c>
      <c r="N30" s="274">
        <f>$F30*'Acidi &amp; concimi'!AP21</f>
        <v>0</v>
      </c>
      <c r="O30" s="274">
        <f>$F30*'Acidi &amp; concimi'!AQ21</f>
        <v>0</v>
      </c>
      <c r="P30" s="285">
        <f>$F30*'Acidi &amp; concimi'!AR21*1000</f>
        <v>0</v>
      </c>
      <c r="Q30" s="285">
        <f>$F30*'Acidi &amp; concimi'!AS21*1000</f>
        <v>0</v>
      </c>
      <c r="R30" s="285">
        <f>$F30*'Acidi &amp; concimi'!AT21*1000</f>
        <v>0</v>
      </c>
      <c r="S30" s="285">
        <f>$F30*'Acidi &amp; concimi'!AU21*1000</f>
        <v>0</v>
      </c>
      <c r="T30" s="285">
        <f>$F30*'Acidi &amp; concimi'!AV21*1000</f>
        <v>0</v>
      </c>
      <c r="U30" s="285">
        <f>$F30*'Acidi &amp; concimi'!AW21*1000</f>
        <v>0</v>
      </c>
      <c r="V30" s="268"/>
    </row>
    <row r="31" spans="1:22">
      <c r="A31" s="269" t="s">
        <v>64</v>
      </c>
      <c r="B31" s="6" t="str">
        <f>'Acidi &amp; concimi'!B22</f>
        <v>Calcium chloride</v>
      </c>
      <c r="C31" s="6" t="s">
        <v>69</v>
      </c>
      <c r="D31" s="282">
        <f>-$K$13/'Acidi &amp; concimi'!AM22</f>
        <v>0</v>
      </c>
      <c r="E31" s="283">
        <f>IF(A31="Y",IF(D31&gt;0,D31,0),0)</f>
        <v>0</v>
      </c>
      <c r="F31" s="284">
        <v>0</v>
      </c>
      <c r="G31" s="274">
        <f>$F31*'Acidi &amp; concimi'!AI22</f>
        <v>0</v>
      </c>
      <c r="H31" s="274">
        <f>$F31*'Acidi &amp; concimi'!AJ22</f>
        <v>0</v>
      </c>
      <c r="I31" s="274">
        <f>$F31*'Acidi &amp; concimi'!AK22</f>
        <v>0</v>
      </c>
      <c r="J31" s="274">
        <f>$F31*'Acidi &amp; concimi'!AL22</f>
        <v>0</v>
      </c>
      <c r="K31" s="274">
        <f>$F31*'Acidi &amp; concimi'!AM22</f>
        <v>0</v>
      </c>
      <c r="L31" s="274">
        <f>$F31*'Acidi &amp; concimi'!AN22</f>
        <v>0</v>
      </c>
      <c r="M31" s="274">
        <f>$F31*'Acidi &amp; concimi'!AO22</f>
        <v>0</v>
      </c>
      <c r="N31" s="274">
        <f>$F31*'Acidi &amp; concimi'!AP22</f>
        <v>0</v>
      </c>
      <c r="O31" s="274">
        <f>$F31*'Acidi &amp; concimi'!AQ22</f>
        <v>0</v>
      </c>
      <c r="P31" s="285">
        <f>$F31*'Acidi &amp; concimi'!AR22*1000</f>
        <v>0</v>
      </c>
      <c r="Q31" s="285">
        <f>$F31*'Acidi &amp; concimi'!AS22*1000</f>
        <v>0</v>
      </c>
      <c r="R31" s="285">
        <f>$F31*'Acidi &amp; concimi'!AT22*1000</f>
        <v>0</v>
      </c>
      <c r="S31" s="285">
        <f>$F31*'Acidi &amp; concimi'!AU22*1000</f>
        <v>0</v>
      </c>
      <c r="T31" s="285">
        <f>$F31*'Acidi &amp; concimi'!AV22*1000</f>
        <v>0</v>
      </c>
      <c r="U31" s="285">
        <f>$F31*'Acidi &amp; concimi'!AW22*1000</f>
        <v>0</v>
      </c>
      <c r="V31" s="268"/>
    </row>
    <row r="32" spans="1:22">
      <c r="B32" s="95"/>
      <c r="C32" s="95"/>
      <c r="D32" s="95"/>
      <c r="E32" s="240"/>
      <c r="F32" s="95"/>
      <c r="G32" s="268"/>
      <c r="H32" s="268"/>
      <c r="I32" s="268"/>
      <c r="J32" s="268"/>
      <c r="K32" s="268"/>
      <c r="L32" s="268"/>
      <c r="M32" s="268"/>
      <c r="N32" s="268"/>
      <c r="O32" s="268"/>
      <c r="P32" s="268"/>
      <c r="Q32" s="268"/>
      <c r="R32" s="268"/>
      <c r="S32" s="268"/>
      <c r="T32" s="268"/>
      <c r="U32" s="268"/>
      <c r="V32" s="268"/>
    </row>
    <row r="33" spans="1:22" ht="18">
      <c r="B33" s="263" t="s">
        <v>236</v>
      </c>
      <c r="C33" s="6"/>
      <c r="D33" s="5"/>
      <c r="E33" s="7"/>
      <c r="F33" s="286" t="str">
        <f>IF((H$10-H$11)&gt;1,"Acqua troppo ricca di ammonio!!",IF((H$13&lt;-0.10501),"Need to add ammonium salts!",IF((H$13&gt;0.105),"Reduce the ammonium salts","OK")))</f>
        <v>OK</v>
      </c>
      <c r="G33" s="287"/>
      <c r="H33" s="287"/>
      <c r="I33" s="287"/>
      <c r="J33" s="287"/>
      <c r="K33" s="287"/>
      <c r="L33" s="287"/>
      <c r="M33" s="287"/>
      <c r="N33" s="287"/>
      <c r="O33" s="287"/>
      <c r="P33" s="287"/>
      <c r="Q33" s="287"/>
      <c r="R33" s="287"/>
      <c r="S33" s="287"/>
      <c r="T33" s="288"/>
      <c r="U33" s="6"/>
    </row>
    <row r="34" spans="1:22">
      <c r="A34" s="269" t="s">
        <v>354</v>
      </c>
      <c r="B34" s="6" t="str">
        <f>'Acidi &amp; concimi'!B24</f>
        <v>Ammonium nitrate</v>
      </c>
      <c r="C34" s="6" t="s">
        <v>69</v>
      </c>
      <c r="D34" s="283">
        <f>-$H$13/'Acidi &amp; concimi'!AJ24</f>
        <v>-0.14356403898768438</v>
      </c>
      <c r="E34" s="283">
        <f>IF(A34="Y",IF(A35="Y",IF(A36="Y",IF(D34&gt;0,D34/3,0),IF(D34&gt;0,D34/2,0)),IF(A36="Y",IF(D34&gt;0,D34/2,0),IF(D34&gt;0,D34,0))),0)</f>
        <v>0</v>
      </c>
      <c r="F34" s="284">
        <v>16.254716214018543</v>
      </c>
      <c r="G34" s="274">
        <f>$F34*'Acidi &amp; concimi'!AI24</f>
        <v>0.19960099870144854</v>
      </c>
      <c r="H34" s="274">
        <f>$F34*'Acidi &amp; concimi'!AJ24</f>
        <v>0.19960099870144854</v>
      </c>
      <c r="I34" s="274">
        <f>$F34*'Acidi &amp; concimi'!AK24</f>
        <v>0</v>
      </c>
      <c r="J34" s="274">
        <f>$F34*'Acidi &amp; concimi'!AL24</f>
        <v>0</v>
      </c>
      <c r="K34" s="274">
        <f>$F34*'Acidi &amp; concimi'!AM24</f>
        <v>0</v>
      </c>
      <c r="L34" s="274">
        <f>$F34*'Acidi &amp; concimi'!AN24</f>
        <v>0</v>
      </c>
      <c r="M34" s="274">
        <f>$F34*'Acidi &amp; concimi'!AO24</f>
        <v>0</v>
      </c>
      <c r="N34" s="274">
        <f>$F34*'Acidi &amp; concimi'!AP24</f>
        <v>0</v>
      </c>
      <c r="O34" s="274">
        <f>$F34*'Acidi &amp; concimi'!AQ24</f>
        <v>0</v>
      </c>
      <c r="P34" s="285">
        <f>$F34*'Acidi &amp; concimi'!AR24*1000</f>
        <v>0</v>
      </c>
      <c r="Q34" s="285">
        <f>$F34*'Acidi &amp; concimi'!AS24*1000</f>
        <v>0</v>
      </c>
      <c r="R34" s="285">
        <f>$F34*'Acidi &amp; concimi'!AT24*1000</f>
        <v>0</v>
      </c>
      <c r="S34" s="285">
        <f>$F34*'Acidi &amp; concimi'!AU24*1000</f>
        <v>0</v>
      </c>
      <c r="T34" s="285">
        <f>$F34*'Acidi &amp; concimi'!AV24*1000</f>
        <v>0</v>
      </c>
      <c r="U34" s="285">
        <f>$F34*'Acidi &amp; concimi'!AW18*1000</f>
        <v>0</v>
      </c>
      <c r="V34" s="268"/>
    </row>
    <row r="35" spans="1:22">
      <c r="A35" s="269" t="s">
        <v>64</v>
      </c>
      <c r="B35" s="6" t="str">
        <f>'Acidi &amp; concimi'!B25</f>
        <v>Ammonium sulphate</v>
      </c>
      <c r="C35" s="6" t="s">
        <v>69</v>
      </c>
      <c r="D35" s="283">
        <f>-$H$13/'Acidi &amp; concimi'!AJ25</f>
        <v>-0.11647648446170619</v>
      </c>
      <c r="E35" s="283">
        <f>IF(A35="Y",IF(A36="Y",IF(D35&gt;0,D35/2,0),IF(D35&gt;0,D35,0)),0)</f>
        <v>0</v>
      </c>
      <c r="F35" s="284">
        <v>0</v>
      </c>
      <c r="G35" s="274">
        <f>$F35*'Acidi &amp; concimi'!AI25</f>
        <v>0</v>
      </c>
      <c r="H35" s="274">
        <f>$F35*'Acidi &amp; concimi'!AJ25</f>
        <v>0</v>
      </c>
      <c r="I35" s="274">
        <f>$F35*'Acidi &amp; concimi'!AK25</f>
        <v>0</v>
      </c>
      <c r="J35" s="274">
        <f>$F35*'Acidi &amp; concimi'!AL25</f>
        <v>0</v>
      </c>
      <c r="K35" s="274">
        <f>$F35*'Acidi &amp; concimi'!AM25</f>
        <v>0</v>
      </c>
      <c r="L35" s="274">
        <f>$F35*'Acidi &amp; concimi'!AN25</f>
        <v>0</v>
      </c>
      <c r="M35" s="274">
        <f>$F35*'Acidi &amp; concimi'!AO25</f>
        <v>0</v>
      </c>
      <c r="N35" s="274">
        <f>$F35*'Acidi &amp; concimi'!AP25</f>
        <v>0</v>
      </c>
      <c r="O35" s="274">
        <f>$F35*'Acidi &amp; concimi'!AQ25</f>
        <v>0</v>
      </c>
      <c r="P35" s="285">
        <f>$F35*'Acidi &amp; concimi'!AR24*1000</f>
        <v>0</v>
      </c>
      <c r="Q35" s="285">
        <f>$F35*'Acidi &amp; concimi'!AS24*1000</f>
        <v>0</v>
      </c>
      <c r="R35" s="285">
        <f>$F35*'Acidi &amp; concimi'!AT24*1000</f>
        <v>0</v>
      </c>
      <c r="S35" s="285">
        <f>$F35*'Acidi &amp; concimi'!AU24*1000</f>
        <v>0</v>
      </c>
      <c r="T35" s="285">
        <f>$F35*'Acidi &amp; concimi'!AV24*1000</f>
        <v>0</v>
      </c>
      <c r="U35" s="285">
        <f>$F35*'Acidi &amp; concimi'!AW24*1000</f>
        <v>0</v>
      </c>
      <c r="V35" s="268"/>
    </row>
    <row r="36" spans="1:22">
      <c r="A36" s="269" t="s">
        <v>64</v>
      </c>
      <c r="B36" s="6" t="str">
        <f>'Acidi &amp; concimi'!B26</f>
        <v>Mono-ammonium phosphate</v>
      </c>
      <c r="C36" s="6" t="s">
        <v>69</v>
      </c>
      <c r="D36" s="283">
        <f>-$H$13/'Acidi &amp; concimi'!AJ26</f>
        <v>-0.20240175988427633</v>
      </c>
      <c r="E36" s="283">
        <f>IF(A36="Y",IF(D36&gt;0,D36,0),0)</f>
        <v>0</v>
      </c>
      <c r="F36" s="284">
        <v>0</v>
      </c>
      <c r="G36" s="274">
        <f>$F36*'Acidi &amp; concimi'!AI26</f>
        <v>0</v>
      </c>
      <c r="H36" s="274">
        <f>$F36*'Acidi &amp; concimi'!AJ26</f>
        <v>0</v>
      </c>
      <c r="I36" s="274">
        <f>$F36*'Acidi &amp; concimi'!AK26</f>
        <v>0</v>
      </c>
      <c r="J36" s="274">
        <f>$F36*'Acidi &amp; concimi'!AL26</f>
        <v>0</v>
      </c>
      <c r="K36" s="274">
        <f>$F36*'Acidi &amp; concimi'!AM26</f>
        <v>0</v>
      </c>
      <c r="L36" s="274">
        <f>$F36*'Acidi &amp; concimi'!AN26</f>
        <v>0</v>
      </c>
      <c r="M36" s="274">
        <f>$F36*'Acidi &amp; concimi'!AO26</f>
        <v>0</v>
      </c>
      <c r="N36" s="274">
        <f>$F36*'Acidi &amp; concimi'!AP26</f>
        <v>0</v>
      </c>
      <c r="O36" s="274">
        <f>$F36*'Acidi &amp; concimi'!AQ26</f>
        <v>0</v>
      </c>
      <c r="P36" s="285">
        <f>$F36*'Acidi &amp; concimi'!AR25*1000</f>
        <v>0</v>
      </c>
      <c r="Q36" s="285">
        <f>$F36*'Acidi &amp; concimi'!AS25*1000</f>
        <v>0</v>
      </c>
      <c r="R36" s="285">
        <f>$F36*'Acidi &amp; concimi'!AT25*1000</f>
        <v>0</v>
      </c>
      <c r="S36" s="285">
        <f>$F36*'Acidi &amp; concimi'!AU25*1000</f>
        <v>0</v>
      </c>
      <c r="T36" s="285">
        <f>$F36*'Acidi &amp; concimi'!AV25*1000</f>
        <v>0</v>
      </c>
      <c r="U36" s="285">
        <f>$F36*'Acidi &amp; concimi'!AW25*1000</f>
        <v>0</v>
      </c>
      <c r="V36" s="268"/>
    </row>
    <row r="37" spans="1:22">
      <c r="B37" s="95"/>
      <c r="C37" s="95"/>
      <c r="D37" s="95"/>
      <c r="E37" s="240"/>
      <c r="F37" s="95"/>
      <c r="G37" s="268"/>
      <c r="H37" s="268"/>
      <c r="I37" s="268"/>
      <c r="J37" s="268"/>
      <c r="K37" s="268"/>
      <c r="L37" s="268"/>
      <c r="M37" s="268"/>
      <c r="N37" s="268"/>
      <c r="O37" s="268"/>
      <c r="P37" s="268"/>
      <c r="Q37" s="268"/>
      <c r="R37" s="268"/>
      <c r="S37" s="268"/>
      <c r="T37" s="268"/>
      <c r="U37" s="268"/>
      <c r="V37" s="268"/>
    </row>
    <row r="38" spans="1:22" ht="18">
      <c r="B38" s="263" t="s">
        <v>237</v>
      </c>
      <c r="C38" s="6"/>
      <c r="D38" s="5"/>
      <c r="E38" s="7"/>
      <c r="F38" s="286" t="str">
        <f>IF((I$10-I$11)&gt;1,"Acqua troppo ricca di fosforo!!",IF((I$13&lt;-0.10501),"Need to add phophorous salts!",IF((($I$13)^2)&gt;0.011027,"Reduce the phophorous, not use phophoric acid","OK")))</f>
        <v>OK</v>
      </c>
      <c r="G38" s="287"/>
      <c r="H38" s="287"/>
      <c r="I38" s="287"/>
      <c r="J38" s="287"/>
      <c r="K38" s="287"/>
      <c r="L38" s="287"/>
      <c r="M38" s="287"/>
      <c r="N38" s="287"/>
      <c r="O38" s="287"/>
      <c r="P38" s="287"/>
      <c r="Q38" s="287"/>
      <c r="R38" s="287"/>
      <c r="S38" s="287"/>
      <c r="T38" s="288"/>
      <c r="U38" s="6"/>
    </row>
    <row r="39" spans="1:22">
      <c r="A39" s="269" t="s">
        <v>354</v>
      </c>
      <c r="B39" s="6" t="str">
        <f>'Acidi &amp; concimi'!B28</f>
        <v>Mono-potassium phosphate</v>
      </c>
      <c r="C39" s="6" t="s">
        <v>69</v>
      </c>
      <c r="D39" s="283">
        <f>-$I$13/'Acidi &amp; concimi'!AK28</f>
        <v>0</v>
      </c>
      <c r="E39" s="283">
        <f>IF(A39="Y",IF(D39&gt;0,D39,0),0)</f>
        <v>0</v>
      </c>
      <c r="F39" s="284">
        <v>135.96967174829939</v>
      </c>
      <c r="G39" s="274">
        <f>$F39*'Acidi &amp; concimi'!AI28</f>
        <v>0</v>
      </c>
      <c r="H39" s="274">
        <f>$F39*'Acidi &amp; concimi'!AJ28</f>
        <v>0</v>
      </c>
      <c r="I39" s="274">
        <f>$F39*'Acidi &amp; concimi'!AK28</f>
        <v>1</v>
      </c>
      <c r="J39" s="274">
        <f>$F39*'Acidi &amp; concimi'!AL28</f>
        <v>0.99866420288175495</v>
      </c>
      <c r="K39" s="274">
        <f>$F39*'Acidi &amp; concimi'!AM28</f>
        <v>0</v>
      </c>
      <c r="L39" s="274">
        <f>$F39*'Acidi &amp; concimi'!AN28</f>
        <v>0</v>
      </c>
      <c r="M39" s="274">
        <f>$F39*'Acidi &amp; concimi'!AO28</f>
        <v>0</v>
      </c>
      <c r="N39" s="274">
        <f>$F39*'Acidi &amp; concimi'!AP28</f>
        <v>0</v>
      </c>
      <c r="O39" s="274">
        <f>$F39*'Acidi &amp; concimi'!AQ28</f>
        <v>0</v>
      </c>
      <c r="P39" s="285">
        <f>$F39*'Acidi &amp; concimi'!AR28*1000</f>
        <v>0</v>
      </c>
      <c r="Q39" s="285">
        <f>$F39*'Acidi &amp; concimi'!AS28*1000</f>
        <v>0</v>
      </c>
      <c r="R39" s="285">
        <f>$F39*'Acidi &amp; concimi'!AT28*1000</f>
        <v>0</v>
      </c>
      <c r="S39" s="285">
        <f>$F39*'Acidi &amp; concimi'!AU28*1000</f>
        <v>0</v>
      </c>
      <c r="T39" s="285">
        <f>$F39*'Acidi &amp; concimi'!AV28*1000</f>
        <v>0</v>
      </c>
      <c r="U39" s="285">
        <f>$F39*'Acidi &amp; concimi'!AW28*1000</f>
        <v>0</v>
      </c>
      <c r="V39" s="268"/>
    </row>
    <row r="40" spans="1:22">
      <c r="B40" s="6"/>
      <c r="C40" s="6"/>
      <c r="D40" s="5"/>
      <c r="E40" s="7"/>
      <c r="F40" s="6"/>
      <c r="G40" s="289"/>
      <c r="H40" s="289"/>
      <c r="I40" s="289"/>
      <c r="J40" s="289"/>
      <c r="K40" s="289"/>
      <c r="L40" s="289"/>
      <c r="M40" s="289"/>
      <c r="N40" s="289"/>
      <c r="O40" s="289"/>
      <c r="P40" s="289"/>
      <c r="Q40" s="289"/>
      <c r="R40" s="289"/>
      <c r="S40" s="289"/>
      <c r="T40" s="289"/>
      <c r="U40" s="289"/>
    </row>
    <row r="41" spans="1:22" ht="18">
      <c r="B41" s="263" t="s">
        <v>238</v>
      </c>
      <c r="C41" s="6"/>
      <c r="D41" s="5"/>
      <c r="E41" s="7"/>
      <c r="F41" s="286" t="str">
        <f>IF((L$10-L$11)&gt;1,"Acqua troppo ricca di Mg!!",IF((L$13&lt;-0.10501),"Need to add magnesium salts!",IF((L$13&gt;0.105),"Reduce the quantity of  magnesium salts","OK")))</f>
        <v>OK</v>
      </c>
      <c r="G41" s="287"/>
      <c r="H41" s="287"/>
      <c r="I41" s="287"/>
      <c r="J41" s="287"/>
      <c r="K41" s="287"/>
      <c r="L41" s="287"/>
      <c r="M41" s="287"/>
      <c r="N41" s="287"/>
      <c r="O41" s="287"/>
      <c r="P41" s="287"/>
      <c r="Q41" s="287"/>
      <c r="R41" s="287"/>
      <c r="S41" s="287"/>
      <c r="T41" s="288"/>
      <c r="U41" s="6"/>
    </row>
    <row r="42" spans="1:22">
      <c r="A42" s="269" t="s">
        <v>354</v>
      </c>
      <c r="B42" s="6" t="str">
        <f>'Acidi &amp; concimi'!B30</f>
        <v>Magnesium sulphate</v>
      </c>
      <c r="C42" s="6" t="s">
        <v>69</v>
      </c>
      <c r="D42" s="283">
        <f>-$L$13/'Acidi &amp; concimi'!AN30</f>
        <v>0</v>
      </c>
      <c r="E42" s="283">
        <f>IF(A42="Y",IF(A43="Y",IF(D42&gt;0,D42/2,0),IF(D42&gt;0,D42,0)),0)</f>
        <v>0</v>
      </c>
      <c r="F42" s="284">
        <v>380.36233924716043</v>
      </c>
      <c r="G42" s="274">
        <f>$F42*'Acidi &amp; concimi'!AI30</f>
        <v>0</v>
      </c>
      <c r="H42" s="274">
        <f>$F42*'Acidi &amp; concimi'!AJ30</f>
        <v>0</v>
      </c>
      <c r="I42" s="274">
        <f>$F42*'Acidi &amp; concimi'!AK30</f>
        <v>0</v>
      </c>
      <c r="J42" s="274">
        <f>$F42*'Acidi &amp; concimi'!AL30</f>
        <v>0</v>
      </c>
      <c r="K42" s="274">
        <f>$F42*'Acidi &amp; concimi'!AM30</f>
        <v>0</v>
      </c>
      <c r="L42" s="274">
        <f>$F42*'Acidi &amp; concimi'!AN30</f>
        <v>1.5</v>
      </c>
      <c r="M42" s="274">
        <f>$F42*'Acidi &amp; concimi'!AO30</f>
        <v>0</v>
      </c>
      <c r="N42" s="274">
        <f>$F42*'Acidi &amp; concimi'!AP30</f>
        <v>1.50654993401913</v>
      </c>
      <c r="O42" s="274">
        <f>$F42*'Acidi &amp; concimi'!AQ30</f>
        <v>0</v>
      </c>
      <c r="P42" s="285">
        <f>$F42*'Acidi &amp; concimi'!AR30*1000</f>
        <v>0</v>
      </c>
      <c r="Q42" s="285">
        <f>$F42*'Acidi &amp; concimi'!AS30*1000</f>
        <v>0</v>
      </c>
      <c r="R42" s="285">
        <f>$F42*'Acidi &amp; concimi'!AT30*1000</f>
        <v>0</v>
      </c>
      <c r="S42" s="285">
        <f>$F42*'Acidi &amp; concimi'!AU30*1000</f>
        <v>0</v>
      </c>
      <c r="T42" s="285">
        <f>$F42*'Acidi &amp; concimi'!AV30*1000</f>
        <v>0</v>
      </c>
      <c r="U42" s="285">
        <f>$F42*'Acidi &amp; concimi'!AW30*1000</f>
        <v>0</v>
      </c>
      <c r="V42" s="268"/>
    </row>
    <row r="43" spans="1:22">
      <c r="A43" s="269" t="s">
        <v>64</v>
      </c>
      <c r="B43" s="6" t="str">
        <f>'Acidi &amp; concimi'!B31</f>
        <v>Magnesium nitrate</v>
      </c>
      <c r="C43" s="6" t="s">
        <v>69</v>
      </c>
      <c r="D43" s="283">
        <f>-$L$13/'Acidi &amp; concimi'!AN31</f>
        <v>0</v>
      </c>
      <c r="E43" s="283">
        <f>IF(A43="Y",IF(D43&gt;0,D43,0),0)</f>
        <v>0</v>
      </c>
      <c r="F43" s="284">
        <v>0</v>
      </c>
      <c r="G43" s="274">
        <f>$F43*'Acidi &amp; concimi'!AI31</f>
        <v>0</v>
      </c>
      <c r="H43" s="274">
        <f>$F43*'Acidi &amp; concimi'!AJ31</f>
        <v>0</v>
      </c>
      <c r="I43" s="274">
        <f>$F43*'Acidi &amp; concimi'!AK31</f>
        <v>0</v>
      </c>
      <c r="J43" s="274">
        <f>$F43*'Acidi &amp; concimi'!AL31</f>
        <v>0</v>
      </c>
      <c r="K43" s="274">
        <f>$F43*'Acidi &amp; concimi'!AM31</f>
        <v>0</v>
      </c>
      <c r="L43" s="274">
        <f>$F43*'Acidi &amp; concimi'!AN31</f>
        <v>0</v>
      </c>
      <c r="M43" s="274">
        <f>$F43*'Acidi &amp; concimi'!AO31</f>
        <v>0</v>
      </c>
      <c r="N43" s="274">
        <f>$F43*'Acidi &amp; concimi'!AP31</f>
        <v>0</v>
      </c>
      <c r="O43" s="274">
        <f>$F43*'Acidi &amp; concimi'!AQ31</f>
        <v>0</v>
      </c>
      <c r="P43" s="285">
        <f>$F43*'Acidi &amp; concimi'!AR31*1000</f>
        <v>0</v>
      </c>
      <c r="Q43" s="285">
        <f>$F43*'Acidi &amp; concimi'!AS31*1000</f>
        <v>0</v>
      </c>
      <c r="R43" s="285">
        <f>$F43*'Acidi &amp; concimi'!AT31*1000</f>
        <v>0</v>
      </c>
      <c r="S43" s="285">
        <f>$F43*'Acidi &amp; concimi'!AU31*1000</f>
        <v>0</v>
      </c>
      <c r="T43" s="285">
        <f>$F43*'Acidi &amp; concimi'!AV31*1000</f>
        <v>0</v>
      </c>
      <c r="U43" s="285">
        <f>$F43*'Acidi &amp; concimi'!AW31*1000</f>
        <v>0</v>
      </c>
      <c r="V43" s="268"/>
    </row>
    <row r="44" spans="1:22">
      <c r="B44" s="95"/>
      <c r="C44" s="95"/>
      <c r="D44" s="95"/>
      <c r="E44" s="240"/>
      <c r="F44" s="95"/>
      <c r="G44" s="268"/>
      <c r="H44" s="268"/>
      <c r="I44" s="268"/>
      <c r="J44" s="268"/>
      <c r="K44" s="268"/>
      <c r="L44" s="268"/>
      <c r="M44" s="268"/>
      <c r="N44" s="268"/>
      <c r="O44" s="268"/>
      <c r="P44" s="268"/>
      <c r="Q44" s="268"/>
      <c r="R44" s="268"/>
      <c r="S44" s="268"/>
      <c r="T44" s="268"/>
      <c r="U44" s="268"/>
    </row>
    <row r="45" spans="1:22" ht="18">
      <c r="B45" s="263" t="s">
        <v>239</v>
      </c>
      <c r="C45" s="6"/>
      <c r="D45" s="5"/>
      <c r="E45" s="7"/>
      <c r="F45" s="286" t="str">
        <f>IF((G$10-G$11)&gt;0.5,"Acqua troppo ricca di nitrati!!",IF((G$13&lt;-0.20501),"Need to add nitrate salts!",IF((G$13&gt;0.205),"Reduce the nitrogen salts or use sulphuric acid ","OK")))</f>
        <v>OK</v>
      </c>
      <c r="G45" s="290"/>
      <c r="H45" s="290"/>
      <c r="I45" s="290"/>
      <c r="J45" s="290"/>
      <c r="K45" s="290"/>
      <c r="L45" s="290"/>
      <c r="M45" s="290"/>
      <c r="N45" s="290"/>
      <c r="O45" s="290"/>
      <c r="P45" s="290"/>
      <c r="Q45" s="290"/>
      <c r="R45" s="290"/>
      <c r="S45" s="290"/>
      <c r="T45" s="291"/>
      <c r="U45" s="276"/>
    </row>
    <row r="46" spans="1:22">
      <c r="A46" s="269" t="s">
        <v>354</v>
      </c>
      <c r="B46" s="6" t="str">
        <f>'Acidi &amp; concimi'!B33</f>
        <v>Potassium nitrate</v>
      </c>
      <c r="C46" s="6" t="s">
        <v>69</v>
      </c>
      <c r="D46" s="283">
        <f>-$G$13/'Acidi &amp; concimi'!AI33</f>
        <v>0</v>
      </c>
      <c r="E46" s="283">
        <f>IF(A46="Y",IF(D46&gt;0,D46,0),0)</f>
        <v>0</v>
      </c>
      <c r="F46" s="284">
        <v>507.09501368196999</v>
      </c>
      <c r="G46" s="274">
        <f>$F46*'Acidi &amp; concimi'!AI33</f>
        <v>4.9960099870144834</v>
      </c>
      <c r="H46" s="274">
        <f>$F46*'Acidi &amp; concimi'!AJ33</f>
        <v>0</v>
      </c>
      <c r="I46" s="274">
        <f>$F46*'Acidi &amp; concimi'!AK33</f>
        <v>0</v>
      </c>
      <c r="J46" s="274">
        <f>$F46*'Acidi &amp; concimi'!AL33</f>
        <v>5.0054557680449188</v>
      </c>
      <c r="K46" s="274">
        <f>$F46*'Acidi &amp; concimi'!AM33</f>
        <v>0</v>
      </c>
      <c r="L46" s="274">
        <f>$F46*'Acidi &amp; concimi'!AN33</f>
        <v>0</v>
      </c>
      <c r="M46" s="274">
        <f>$F46*'Acidi &amp; concimi'!AO33</f>
        <v>0</v>
      </c>
      <c r="N46" s="274">
        <f>$F46*'Acidi &amp; concimi'!AP33</f>
        <v>0</v>
      </c>
      <c r="O46" s="278">
        <f>$F46*'Acidi &amp; concimi'!AQ33</f>
        <v>0</v>
      </c>
      <c r="P46" s="285">
        <f>$F46*'Acidi &amp; concimi'!AR33*1000</f>
        <v>0</v>
      </c>
      <c r="Q46" s="285">
        <f>$F46*'Acidi &amp; concimi'!AS33*1000</f>
        <v>0</v>
      </c>
      <c r="R46" s="285">
        <f>$F46*'Acidi &amp; concimi'!AT33*1000</f>
        <v>0</v>
      </c>
      <c r="S46" s="285">
        <f>$F46*'Acidi &amp; concimi'!AU33*1000</f>
        <v>0</v>
      </c>
      <c r="T46" s="285">
        <f>$F46*'Acidi &amp; concimi'!AV33*1000</f>
        <v>0</v>
      </c>
      <c r="U46" s="285">
        <f>$F46*'Acidi &amp; concimi'!AW33*1000</f>
        <v>0</v>
      </c>
      <c r="V46" s="268"/>
    </row>
    <row r="47" spans="1:22">
      <c r="B47" s="95"/>
      <c r="C47" s="95"/>
      <c r="D47" s="95"/>
      <c r="E47" s="240"/>
      <c r="F47" s="95"/>
      <c r="G47" s="268"/>
      <c r="H47" s="268"/>
      <c r="I47" s="268"/>
      <c r="J47" s="268"/>
      <c r="K47" s="268"/>
      <c r="L47" s="268"/>
      <c r="M47" s="268"/>
      <c r="N47" s="268"/>
      <c r="O47" s="268"/>
      <c r="P47" s="268"/>
      <c r="Q47" s="268"/>
      <c r="R47" s="268"/>
      <c r="S47" s="268"/>
      <c r="T47" s="268"/>
      <c r="U47" s="268"/>
    </row>
    <row r="48" spans="1:22" ht="18">
      <c r="B48" s="263" t="s">
        <v>343</v>
      </c>
      <c r="C48" s="6"/>
      <c r="D48" s="5"/>
      <c r="E48" s="7"/>
      <c r="F48" s="286" t="str">
        <f>IF((J$10-J$11)&gt;0.1,"Acqua troppo ricca di potassio!!",IF((J$13&lt;-0.10501),"Need to add potassium salts!",IF((J$13&gt;0.105),"Reduce the amount of potassium salts, use more ammonium nitrate","OK")))</f>
        <v>OK</v>
      </c>
      <c r="G48" s="290"/>
      <c r="H48" s="290"/>
      <c r="I48" s="290"/>
      <c r="J48" s="290"/>
      <c r="K48" s="290"/>
      <c r="L48" s="290"/>
      <c r="M48" s="290"/>
      <c r="N48" s="290"/>
      <c r="O48" s="290"/>
      <c r="P48" s="290"/>
      <c r="Q48" s="290"/>
      <c r="R48" s="290"/>
      <c r="S48" s="290"/>
      <c r="T48" s="291"/>
      <c r="U48" s="278"/>
    </row>
    <row r="49" spans="1:22">
      <c r="A49" s="269" t="s">
        <v>354</v>
      </c>
      <c r="B49" s="6" t="str">
        <f>'Acidi &amp; concimi'!B34</f>
        <v xml:space="preserve">Potassium sulphate </v>
      </c>
      <c r="C49" s="6" t="s">
        <v>69</v>
      </c>
      <c r="D49" s="283">
        <f>-$J$13/'Acidi &amp; concimi'!AL34</f>
        <v>0</v>
      </c>
      <c r="E49" s="283">
        <f>IF(A49="Y",IF(A50="Y",IF(D49&gt;0,D49/2,0),IF(D49&gt;0,D49,0)),0)</f>
        <v>0</v>
      </c>
      <c r="F49" s="284">
        <v>180.63935080209501</v>
      </c>
      <c r="G49" s="274">
        <f>$F49*'Acidi &amp; concimi'!AI34</f>
        <v>0</v>
      </c>
      <c r="H49" s="274">
        <f>$F49*'Acidi &amp; concimi'!AJ34</f>
        <v>0</v>
      </c>
      <c r="I49" s="274">
        <f>$F49*'Acidi &amp; concimi'!AK34</f>
        <v>0</v>
      </c>
      <c r="J49" s="274">
        <f>$F49*'Acidi &amp; concimi'!AL34</f>
        <v>1.9958800290733265</v>
      </c>
      <c r="K49" s="274">
        <f>$F49*'Acidi &amp; concimi'!AM34</f>
        <v>0</v>
      </c>
      <c r="L49" s="274">
        <f>$F49*'Acidi &amp; concimi'!AN34</f>
        <v>0</v>
      </c>
      <c r="M49" s="274">
        <f>$F49*'Acidi &amp; concimi'!AO34</f>
        <v>0</v>
      </c>
      <c r="N49" s="274">
        <f>$F49*'Acidi &amp; concimi'!AP34</f>
        <v>0.99378684760134617</v>
      </c>
      <c r="O49" s="274">
        <f>$F49*'Acidi &amp; concimi'!AQ34</f>
        <v>0</v>
      </c>
      <c r="P49" s="285">
        <f>$F49*'Acidi &amp; concimi'!AR34*1000</f>
        <v>0</v>
      </c>
      <c r="Q49" s="285">
        <f>$F49*'Acidi &amp; concimi'!AS34*1000</f>
        <v>0</v>
      </c>
      <c r="R49" s="285">
        <f>$F49*'Acidi &amp; concimi'!AT34*1000</f>
        <v>0</v>
      </c>
      <c r="S49" s="285">
        <f>$F49*'Acidi &amp; concimi'!AU34*1000</f>
        <v>0</v>
      </c>
      <c r="T49" s="285">
        <f>$F49*'Acidi &amp; concimi'!AV34*1000</f>
        <v>0</v>
      </c>
      <c r="U49" s="285">
        <f>$F49*'Acidi &amp; concimi'!AW34*1000</f>
        <v>0</v>
      </c>
    </row>
    <row r="50" spans="1:22">
      <c r="A50" s="269" t="s">
        <v>64</v>
      </c>
      <c r="B50" s="6" t="str">
        <f>'Acidi &amp; concimi'!B35</f>
        <v>Potassium chloride</v>
      </c>
      <c r="C50" s="6" t="s">
        <v>69</v>
      </c>
      <c r="D50" s="283">
        <f>-$J$13/'Acidi &amp; concimi'!AL35</f>
        <v>0</v>
      </c>
      <c r="E50" s="283">
        <f>IF(A50="Y",IF(D50&gt;0,D50,0),0)</f>
        <v>0</v>
      </c>
      <c r="F50" s="284">
        <v>0</v>
      </c>
      <c r="G50" s="274">
        <f>$F50*'Acidi &amp; concimi'!AI35</f>
        <v>0</v>
      </c>
      <c r="H50" s="274">
        <f>$F50*'Acidi &amp; concimi'!AJ35</f>
        <v>0</v>
      </c>
      <c r="I50" s="274">
        <f>$F50*'Acidi &amp; concimi'!AK35</f>
        <v>0</v>
      </c>
      <c r="J50" s="274">
        <f>$F50*'Acidi &amp; concimi'!AL35</f>
        <v>0</v>
      </c>
      <c r="K50" s="274">
        <f>$F50*'Acidi &amp; concimi'!AM35</f>
        <v>0</v>
      </c>
      <c r="L50" s="274">
        <f>$F50*'Acidi &amp; concimi'!AN35</f>
        <v>0</v>
      </c>
      <c r="M50" s="274">
        <f>$F50*'Acidi &amp; concimi'!AO35</f>
        <v>0</v>
      </c>
      <c r="N50" s="274">
        <f>$F50*'Acidi &amp; concimi'!AP35</f>
        <v>0</v>
      </c>
      <c r="O50" s="274">
        <f>$F50*'Acidi &amp; concimi'!AQ35</f>
        <v>0</v>
      </c>
      <c r="P50" s="285">
        <f>$F50*'Acidi &amp; concimi'!AR35*1000</f>
        <v>0</v>
      </c>
      <c r="Q50" s="285">
        <f>$F50*'Acidi &amp; concimi'!AS35*1000</f>
        <v>0</v>
      </c>
      <c r="R50" s="285">
        <f>$F50*'Acidi &amp; concimi'!AT35*1000</f>
        <v>0</v>
      </c>
      <c r="S50" s="285">
        <f>$F50*'Acidi &amp; concimi'!AU35*1000</f>
        <v>0</v>
      </c>
      <c r="T50" s="285">
        <f>$F50*'Acidi &amp; concimi'!AV35*1000</f>
        <v>0</v>
      </c>
      <c r="U50" s="285">
        <f>$F50*'Acidi &amp; concimi'!AW35*1000</f>
        <v>0</v>
      </c>
    </row>
    <row r="51" spans="1:22">
      <c r="B51" s="95"/>
      <c r="C51" s="95"/>
      <c r="D51" s="95"/>
      <c r="E51" s="240"/>
      <c r="F51" s="95"/>
      <c r="G51" s="268"/>
      <c r="H51" s="268"/>
      <c r="I51" s="268"/>
      <c r="J51" s="268"/>
      <c r="K51" s="268"/>
      <c r="L51" s="268"/>
      <c r="M51" s="268"/>
      <c r="N51" s="268"/>
      <c r="O51" s="268"/>
      <c r="P51" s="268"/>
      <c r="Q51" s="268"/>
      <c r="R51" s="268"/>
      <c r="S51" s="268"/>
      <c r="T51" s="268"/>
      <c r="U51" s="268"/>
    </row>
    <row r="52" spans="1:22" ht="18">
      <c r="B52" s="263" t="s">
        <v>240</v>
      </c>
      <c r="C52" s="6"/>
      <c r="D52" s="5"/>
      <c r="E52" s="7"/>
      <c r="F52" s="286" t="str">
        <f>IF((P$10-P$11)&gt;1,"Acqua troppo ricca di ferro!!",IF((P$13&lt;-1.01),"Need to add iron salts!",IF((P$13&gt;1.0101),"Reduce the iron salts","OK")))</f>
        <v>OK</v>
      </c>
      <c r="G52" s="290"/>
      <c r="H52" s="290"/>
      <c r="I52" s="290"/>
      <c r="J52" s="290"/>
      <c r="K52" s="290"/>
      <c r="L52" s="290"/>
      <c r="M52" s="290"/>
      <c r="N52" s="290"/>
      <c r="O52" s="290"/>
      <c r="P52" s="290"/>
      <c r="Q52" s="290"/>
      <c r="R52" s="290"/>
      <c r="S52" s="290"/>
      <c r="T52" s="291"/>
      <c r="U52" s="276"/>
    </row>
    <row r="53" spans="1:22">
      <c r="A53" s="269" t="s">
        <v>354</v>
      </c>
      <c r="B53" s="6" t="str">
        <f>'Acidi &amp; concimi'!B37</f>
        <v>Iron  EDTA</v>
      </c>
      <c r="C53" s="6" t="s">
        <v>69</v>
      </c>
      <c r="D53" s="283">
        <f>-$P$13/'Acidi &amp; concimi'!AR37/1000</f>
        <v>0</v>
      </c>
      <c r="E53" s="283">
        <f>IF(A53="Y",IF(A54="Y",IF(A55="Y",IF(D53&gt;0,D53/3,0),IF(D53&gt;0,D53/2,0)),IF(A55="Y",IF(D53&gt;0,D53/2,0),IF(D53&gt;0,D53,0))),0)</f>
        <v>0</v>
      </c>
      <c r="F53" s="284">
        <v>6.4442307692307699</v>
      </c>
      <c r="G53" s="274">
        <f>$F53*'Acidi &amp; concimi'!AI37</f>
        <v>0</v>
      </c>
      <c r="H53" s="274">
        <f>$F53*'Acidi &amp; concimi'!AJ37</f>
        <v>0</v>
      </c>
      <c r="I53" s="274">
        <f>$F53*'Acidi &amp; concimi'!AK37</f>
        <v>0</v>
      </c>
      <c r="J53" s="274">
        <f>$F53*'Acidi &amp; concimi'!AL37</f>
        <v>0</v>
      </c>
      <c r="K53" s="274">
        <f>$F53*'Acidi &amp; concimi'!AM37</f>
        <v>0</v>
      </c>
      <c r="L53" s="274">
        <f>$F53*'Acidi &amp; concimi'!AN37</f>
        <v>0</v>
      </c>
      <c r="M53" s="274">
        <f>$F53*'Acidi &amp; concimi'!AO37</f>
        <v>0</v>
      </c>
      <c r="N53" s="274">
        <f>$F53*'Acidi &amp; concimi'!AP37</f>
        <v>0</v>
      </c>
      <c r="O53" s="274">
        <f>$F53*'Acidi &amp; concimi'!AQ37</f>
        <v>0</v>
      </c>
      <c r="P53" s="285">
        <f>$F53*'Acidi &amp; concimi'!AR37*1000</f>
        <v>15.000000000000002</v>
      </c>
      <c r="Q53" s="285">
        <f>$F53*'Acidi &amp; concimi'!AS37*1000</f>
        <v>0</v>
      </c>
      <c r="R53" s="285">
        <f>$F53*'Acidi &amp; concimi'!AT37*1000</f>
        <v>0</v>
      </c>
      <c r="S53" s="285">
        <f>$F53*'Acidi &amp; concimi'!AU37*1000</f>
        <v>0</v>
      </c>
      <c r="T53" s="285">
        <f>$F53*'Acidi &amp; concimi'!AV37*1000</f>
        <v>0</v>
      </c>
      <c r="U53" s="285">
        <f>$F53*'Acidi &amp; concimi'!AW37*1000</f>
        <v>0</v>
      </c>
    </row>
    <row r="54" spans="1:22">
      <c r="A54" s="269" t="s">
        <v>64</v>
      </c>
      <c r="B54" s="6" t="str">
        <f>'Acidi &amp; concimi'!B38</f>
        <v>Iron  DPTA</v>
      </c>
      <c r="C54" s="6" t="s">
        <v>69</v>
      </c>
      <c r="D54" s="283">
        <f>-$P$13/'Acidi &amp; concimi'!AR38/1000</f>
        <v>0</v>
      </c>
      <c r="E54" s="283">
        <f>IF(A54="Y",IF(A55="Y",IF(D54&gt;0,D54/2,0),IF(D54&gt;0,D54,0)),0)</f>
        <v>0</v>
      </c>
      <c r="F54" s="284">
        <v>0</v>
      </c>
      <c r="G54" s="274">
        <f>$F54*'Acidi &amp; concimi'!AI38</f>
        <v>0</v>
      </c>
      <c r="H54" s="274">
        <f>$F54*'Acidi &amp; concimi'!AJ38</f>
        <v>0</v>
      </c>
      <c r="I54" s="274">
        <f>$F54*'Acidi &amp; concimi'!AK38</f>
        <v>0</v>
      </c>
      <c r="J54" s="274">
        <f>$F54*'Acidi &amp; concimi'!AL38</f>
        <v>0</v>
      </c>
      <c r="K54" s="274">
        <f>$F54*'Acidi &amp; concimi'!AM38</f>
        <v>0</v>
      </c>
      <c r="L54" s="274">
        <f>$F54*'Acidi &amp; concimi'!AN38</f>
        <v>0</v>
      </c>
      <c r="M54" s="274">
        <f>$F54*'Acidi &amp; concimi'!AO38</f>
        <v>0</v>
      </c>
      <c r="N54" s="274">
        <f>$F54*'Acidi &amp; concimi'!AP38</f>
        <v>0</v>
      </c>
      <c r="O54" s="274">
        <f>$F54*'Acidi &amp; concimi'!AQ38</f>
        <v>0</v>
      </c>
      <c r="P54" s="285">
        <f>$F54*'Acidi &amp; concimi'!AR38*1000</f>
        <v>0</v>
      </c>
      <c r="Q54" s="285">
        <f>$F54*'Acidi &amp; concimi'!AS38*1000</f>
        <v>0</v>
      </c>
      <c r="R54" s="285">
        <f>$F54*'Acidi &amp; concimi'!AT38*1000</f>
        <v>0</v>
      </c>
      <c r="S54" s="285">
        <f>$F54*'Acidi &amp; concimi'!AU38*1000</f>
        <v>0</v>
      </c>
      <c r="T54" s="285">
        <f>$F54*'Acidi &amp; concimi'!AV38*1000</f>
        <v>0</v>
      </c>
      <c r="U54" s="285">
        <f>$F54*'Acidi &amp; concimi'!AW38*1000</f>
        <v>0</v>
      </c>
    </row>
    <row r="55" spans="1:22">
      <c r="A55" s="269" t="s">
        <v>64</v>
      </c>
      <c r="B55" s="6" t="str">
        <f>'Acidi &amp; concimi'!B39</f>
        <v>Iron EDDHA</v>
      </c>
      <c r="C55" s="6" t="s">
        <v>69</v>
      </c>
      <c r="D55" s="283">
        <f>-$P$13/'Acidi &amp; concimi'!AR39/1000</f>
        <v>0</v>
      </c>
      <c r="E55" s="283">
        <f>IF(A55="Y",IF(D55&gt;0,D55,0),0)</f>
        <v>0</v>
      </c>
      <c r="F55" s="284">
        <v>0</v>
      </c>
      <c r="G55" s="274">
        <f>$F55*'Acidi &amp; concimi'!AI39</f>
        <v>0</v>
      </c>
      <c r="H55" s="274">
        <f>$F55*'Acidi &amp; concimi'!AJ39</f>
        <v>0</v>
      </c>
      <c r="I55" s="274">
        <f>$F55*'Acidi &amp; concimi'!AK39</f>
        <v>0</v>
      </c>
      <c r="J55" s="274">
        <f>$F55*'Acidi &amp; concimi'!AL39</f>
        <v>0</v>
      </c>
      <c r="K55" s="274">
        <f>$F55*'Acidi &amp; concimi'!AM39</f>
        <v>0</v>
      </c>
      <c r="L55" s="274">
        <f>$F55*'Acidi &amp; concimi'!AN39</f>
        <v>0</v>
      </c>
      <c r="M55" s="274">
        <f>$F55*'Acidi &amp; concimi'!AO39</f>
        <v>0</v>
      </c>
      <c r="N55" s="274">
        <f>$F55*'Acidi &amp; concimi'!AP39</f>
        <v>0</v>
      </c>
      <c r="O55" s="274">
        <f>$F55*'Acidi &amp; concimi'!AQ39</f>
        <v>0</v>
      </c>
      <c r="P55" s="285">
        <f>$F55*'Acidi &amp; concimi'!AR39*1000</f>
        <v>0</v>
      </c>
      <c r="Q55" s="285">
        <f>$F55*'Acidi &amp; concimi'!AS39*1000</f>
        <v>0</v>
      </c>
      <c r="R55" s="285">
        <f>$F55*'Acidi &amp; concimi'!AT39*1000</f>
        <v>0</v>
      </c>
      <c r="S55" s="285">
        <f>$F55*'Acidi &amp; concimi'!AU39*1000</f>
        <v>0</v>
      </c>
      <c r="T55" s="285">
        <f>$F55*'Acidi &amp; concimi'!AV39*1000</f>
        <v>0</v>
      </c>
      <c r="U55" s="285">
        <f>$F55*'Acidi &amp; concimi'!AW39*1000</f>
        <v>0</v>
      </c>
    </row>
    <row r="56" spans="1:22">
      <c r="B56" s="6"/>
      <c r="C56" s="6"/>
      <c r="D56" s="5"/>
      <c r="E56" s="7"/>
      <c r="F56" s="6"/>
      <c r="G56" s="247"/>
      <c r="H56" s="247"/>
      <c r="I56" s="247"/>
      <c r="J56" s="247"/>
      <c r="K56" s="247"/>
      <c r="L56" s="247"/>
      <c r="M56" s="247"/>
      <c r="N56" s="247"/>
      <c r="O56" s="247"/>
      <c r="P56" s="247"/>
      <c r="Q56" s="247"/>
      <c r="R56" s="247"/>
      <c r="S56" s="247"/>
      <c r="T56" s="247"/>
      <c r="U56" s="247"/>
    </row>
    <row r="57" spans="1:22" ht="18">
      <c r="B57" s="263" t="s">
        <v>241</v>
      </c>
      <c r="C57" s="6"/>
      <c r="D57" s="5"/>
      <c r="E57" s="7"/>
      <c r="F57" s="6"/>
      <c r="G57" s="11"/>
      <c r="H57" s="11"/>
      <c r="I57" s="11"/>
      <c r="J57" s="11"/>
      <c r="K57" s="11"/>
      <c r="L57" s="11"/>
      <c r="M57" s="11"/>
      <c r="N57" s="11"/>
      <c r="O57" s="11"/>
      <c r="P57" s="11"/>
      <c r="Q57" s="11"/>
      <c r="R57" s="11"/>
      <c r="S57" s="11"/>
      <c r="T57" s="11"/>
      <c r="U57" s="11"/>
    </row>
    <row r="58" spans="1:22">
      <c r="A58" s="292"/>
      <c r="B58" s="6" t="str">
        <f>'Acidi &amp; concimi'!B42</f>
        <v>Microelements MIX 1</v>
      </c>
      <c r="C58" s="6" t="s">
        <v>69</v>
      </c>
      <c r="D58" s="8"/>
      <c r="E58" s="9"/>
      <c r="F58" s="284"/>
      <c r="G58" s="293">
        <f>$F58*'Acidi &amp; concimi'!AI42</f>
        <v>0</v>
      </c>
      <c r="H58" s="293">
        <f>$F58*'Acidi &amp; concimi'!AJ42</f>
        <v>0</v>
      </c>
      <c r="I58" s="293">
        <f>$F58*'Acidi &amp; concimi'!AK42</f>
        <v>0</v>
      </c>
      <c r="J58" s="293">
        <f>$F58*'Acidi &amp; concimi'!AL42</f>
        <v>0</v>
      </c>
      <c r="K58" s="293">
        <f>$F58*'Acidi &amp; concimi'!AM42</f>
        <v>0</v>
      </c>
      <c r="L58" s="293">
        <f>$F58*'Acidi &amp; concimi'!AN42</f>
        <v>0</v>
      </c>
      <c r="M58" s="293">
        <f>$F58*'Acidi &amp; concimi'!AO42</f>
        <v>0</v>
      </c>
      <c r="N58" s="293">
        <f>$F58*'Acidi &amp; concimi'!AP42</f>
        <v>0</v>
      </c>
      <c r="O58" s="294">
        <f>$F58*'Acidi &amp; concimi'!AQ42</f>
        <v>0</v>
      </c>
      <c r="P58" s="285">
        <f>$F58*'Acidi &amp; concimi'!AR42*1000</f>
        <v>0</v>
      </c>
      <c r="Q58" s="285">
        <f>$F58*'Acidi &amp; concimi'!AS42*1000</f>
        <v>0</v>
      </c>
      <c r="R58" s="285">
        <f>$F58*'Acidi &amp; concimi'!AT42*1000</f>
        <v>0</v>
      </c>
      <c r="S58" s="285">
        <f>$F58*'Acidi &amp; concimi'!AU42*1000</f>
        <v>0</v>
      </c>
      <c r="T58" s="285">
        <f>$F58*'Acidi &amp; concimi'!AV42*1000</f>
        <v>0</v>
      </c>
      <c r="U58" s="285">
        <f>$F58*'Acidi &amp; concimi'!AW42*1000</f>
        <v>0</v>
      </c>
      <c r="V58" s="295"/>
    </row>
    <row r="59" spans="1:22">
      <c r="A59" s="292"/>
      <c r="B59" s="6" t="str">
        <f>'Acidi &amp; concimi'!B43</f>
        <v>Microelements MIX 2</v>
      </c>
      <c r="C59" s="6" t="s">
        <v>69</v>
      </c>
      <c r="D59" s="8"/>
      <c r="E59" s="9"/>
      <c r="F59" s="284"/>
      <c r="G59" s="293">
        <f>$F59*'Acidi &amp; concimi'!AI43</f>
        <v>0</v>
      </c>
      <c r="H59" s="293">
        <f>$F59*'Acidi &amp; concimi'!AJ43</f>
        <v>0</v>
      </c>
      <c r="I59" s="293">
        <f>$F59*'Acidi &amp; concimi'!AK43</f>
        <v>0</v>
      </c>
      <c r="J59" s="293">
        <f>$F59*'Acidi &amp; concimi'!AL43</f>
        <v>0</v>
      </c>
      <c r="K59" s="293">
        <f>$F59*'Acidi &amp; concimi'!AM43</f>
        <v>0</v>
      </c>
      <c r="L59" s="293">
        <f>$F59*'Acidi &amp; concimi'!AN43</f>
        <v>0</v>
      </c>
      <c r="M59" s="293">
        <f>$F59*'Acidi &amp; concimi'!AO43</f>
        <v>0</v>
      </c>
      <c r="N59" s="293">
        <f>$F59*'Acidi &amp; concimi'!AP43</f>
        <v>0</v>
      </c>
      <c r="O59" s="294">
        <f>$F59*'Acidi &amp; concimi'!AQ43</f>
        <v>0</v>
      </c>
      <c r="P59" s="285">
        <f>$F59*'Acidi &amp; concimi'!AR43*1000</f>
        <v>0</v>
      </c>
      <c r="Q59" s="285">
        <f>$F59*'Acidi &amp; concimi'!AS43*1000</f>
        <v>0</v>
      </c>
      <c r="R59" s="285">
        <f>$F59*'Acidi &amp; concimi'!AT43*1000</f>
        <v>0</v>
      </c>
      <c r="S59" s="285">
        <f>$F59*'Acidi &amp; concimi'!AU43*1000</f>
        <v>0</v>
      </c>
      <c r="T59" s="285">
        <f>$F59*'Acidi &amp; concimi'!AV43*1000</f>
        <v>0</v>
      </c>
      <c r="U59" s="285">
        <f>$F59*'Acidi &amp; concimi'!AW43*1000</f>
        <v>0</v>
      </c>
      <c r="V59" s="295"/>
    </row>
    <row r="60" spans="1:22">
      <c r="A60" s="269" t="s">
        <v>354</v>
      </c>
      <c r="B60" s="6" t="str">
        <f>'Acidi &amp; concimi'!B44</f>
        <v>Borax</v>
      </c>
      <c r="C60" s="6" t="s">
        <v>69</v>
      </c>
      <c r="D60" s="258">
        <f>-$Q$13/'Acidi &amp; concimi'!AS44/1000</f>
        <v>0</v>
      </c>
      <c r="E60" s="296">
        <f>IF(A60="Y",IF(A61="Y",IF(D60&gt;0,D60/2,0),IF(D60&gt;0,D60,0)),0)</f>
        <v>0</v>
      </c>
      <c r="F60" s="284">
        <v>1.9115044247787611</v>
      </c>
      <c r="G60" s="293">
        <f>$F60*'Acidi &amp; concimi'!AI44</f>
        <v>0</v>
      </c>
      <c r="H60" s="293">
        <f>$F60*'Acidi &amp; concimi'!AJ44</f>
        <v>0</v>
      </c>
      <c r="I60" s="293">
        <f>$F60*'Acidi &amp; concimi'!AK44</f>
        <v>0</v>
      </c>
      <c r="J60" s="293">
        <f>$F60*'Acidi &amp; concimi'!AL44</f>
        <v>0</v>
      </c>
      <c r="K60" s="293">
        <f>$F60*'Acidi &amp; concimi'!AM44</f>
        <v>0</v>
      </c>
      <c r="L60" s="293">
        <f>$F60*'Acidi &amp; concimi'!AN44</f>
        <v>0</v>
      </c>
      <c r="M60" s="293">
        <f>$F60*'Acidi &amp; concimi'!AO44</f>
        <v>1.0060637125952818E-2</v>
      </c>
      <c r="N60" s="293">
        <f>$F60*'Acidi &amp; concimi'!AP44</f>
        <v>0</v>
      </c>
      <c r="O60" s="294">
        <f>$F60*'Acidi &amp; concimi'!AQ44</f>
        <v>0</v>
      </c>
      <c r="P60" s="285">
        <f>$F60*'Acidi &amp; concimi'!AR44*1000</f>
        <v>0</v>
      </c>
      <c r="Q60" s="285">
        <f>$F60*'Acidi &amp; concimi'!AS44*1000</f>
        <v>20</v>
      </c>
      <c r="R60" s="285">
        <f>$F60*'Acidi &amp; concimi'!AT44*1000</f>
        <v>0</v>
      </c>
      <c r="S60" s="285">
        <f>$F60*'Acidi &amp; concimi'!AU44*1000</f>
        <v>0</v>
      </c>
      <c r="T60" s="285">
        <f>$F60*'Acidi &amp; concimi'!AV44*1000</f>
        <v>0</v>
      </c>
      <c r="U60" s="285">
        <f>$F60*'Acidi &amp; concimi'!AW44*1000</f>
        <v>0</v>
      </c>
      <c r="V60" s="295"/>
    </row>
    <row r="61" spans="1:22">
      <c r="A61" s="269" t="s">
        <v>64</v>
      </c>
      <c r="B61" s="6" t="str">
        <f>'Acidi &amp; concimi'!B45</f>
        <v>Boric acid</v>
      </c>
      <c r="C61" s="6" t="s">
        <v>69</v>
      </c>
      <c r="D61" s="258">
        <f>-$Q$13/'Acidi &amp; concimi'!AS45/1000</f>
        <v>0</v>
      </c>
      <c r="E61" s="296">
        <f>IF(A61="Y",IF(D61&gt;0,D61,0),0)</f>
        <v>0</v>
      </c>
      <c r="F61" s="284">
        <v>0</v>
      </c>
      <c r="G61" s="293">
        <f>$F61*'Acidi &amp; concimi'!AI45</f>
        <v>0</v>
      </c>
      <c r="H61" s="293">
        <f>$F61*'Acidi &amp; concimi'!AJ45</f>
        <v>0</v>
      </c>
      <c r="I61" s="293">
        <f>$F61*'Acidi &amp; concimi'!AK45</f>
        <v>0</v>
      </c>
      <c r="J61" s="293">
        <f>$F61*'Acidi &amp; concimi'!AL45</f>
        <v>0</v>
      </c>
      <c r="K61" s="293">
        <f>$F61*'Acidi &amp; concimi'!AM45</f>
        <v>0</v>
      </c>
      <c r="L61" s="293">
        <f>$F61*'Acidi &amp; concimi'!AN45</f>
        <v>0</v>
      </c>
      <c r="M61" s="293">
        <f>$F61*'Acidi &amp; concimi'!AO45</f>
        <v>0</v>
      </c>
      <c r="N61" s="293">
        <f>$F61*'Acidi &amp; concimi'!AP45</f>
        <v>0</v>
      </c>
      <c r="O61" s="294">
        <f>$F61*'Acidi &amp; concimi'!AQ45</f>
        <v>0</v>
      </c>
      <c r="P61" s="285">
        <f>$F61*'Acidi &amp; concimi'!AR45*1000</f>
        <v>0</v>
      </c>
      <c r="Q61" s="285">
        <f>$F61*'Acidi &amp; concimi'!AS45*1000</f>
        <v>0</v>
      </c>
      <c r="R61" s="285">
        <f>$F61*'Acidi &amp; concimi'!AT45*1000</f>
        <v>0</v>
      </c>
      <c r="S61" s="285">
        <f>$F61*'Acidi &amp; concimi'!AU45*1000</f>
        <v>0</v>
      </c>
      <c r="T61" s="285">
        <f>$F61*'Acidi &amp; concimi'!AV45*1000</f>
        <v>0</v>
      </c>
      <c r="U61" s="285">
        <f>$F61*'Acidi &amp; concimi'!AW45*1000</f>
        <v>0</v>
      </c>
      <c r="V61" s="295"/>
    </row>
    <row r="62" spans="1:22">
      <c r="A62" s="269" t="s">
        <v>354</v>
      </c>
      <c r="B62" s="6" t="str">
        <f>'Acidi &amp; concimi'!B46</f>
        <v>Copper sulphate</v>
      </c>
      <c r="C62" s="6" t="s">
        <v>69</v>
      </c>
      <c r="D62" s="258">
        <f>-$R$13/'Acidi &amp; concimi'!AT46/1000</f>
        <v>0</v>
      </c>
      <c r="E62" s="296">
        <f>IF(A62="Y",IF(A63="Y",IF(D62&gt;0,D62/2,0),IF(D62&gt;0,D62,0)),0)</f>
        <v>0</v>
      </c>
      <c r="F62" s="284">
        <v>0.24921568627450977</v>
      </c>
      <c r="G62" s="293">
        <f>$F62*'Acidi &amp; concimi'!AI46</f>
        <v>0</v>
      </c>
      <c r="H62" s="293">
        <f>$F62*'Acidi &amp; concimi'!AJ46</f>
        <v>0</v>
      </c>
      <c r="I62" s="293">
        <f>$F62*'Acidi &amp; concimi'!AK46</f>
        <v>0</v>
      </c>
      <c r="J62" s="293">
        <f>$F62*'Acidi &amp; concimi'!AL46</f>
        <v>0</v>
      </c>
      <c r="K62" s="293">
        <f>$F62*'Acidi &amp; concimi'!AM46</f>
        <v>0</v>
      </c>
      <c r="L62" s="293">
        <f>$F62*'Acidi &amp; concimi'!AN46</f>
        <v>0</v>
      </c>
      <c r="M62" s="293">
        <f>$F62*'Acidi &amp; concimi'!AO46</f>
        <v>0</v>
      </c>
      <c r="N62" s="293">
        <f>$F62*'Acidi &amp; concimi'!AP46</f>
        <v>9.979819772220266E-4</v>
      </c>
      <c r="O62" s="294">
        <f>$F62*'Acidi &amp; concimi'!AQ46</f>
        <v>0</v>
      </c>
      <c r="P62" s="285">
        <f>$F62*'Acidi &amp; concimi'!AR46*1000</f>
        <v>0</v>
      </c>
      <c r="Q62" s="285">
        <f>$F62*'Acidi &amp; concimi'!AS46*1000</f>
        <v>0</v>
      </c>
      <c r="R62" s="285">
        <f>$F62*'Acidi &amp; concimi'!AT46*1000</f>
        <v>1</v>
      </c>
      <c r="S62" s="285">
        <f>$F62*'Acidi &amp; concimi'!AU46*1000</f>
        <v>0</v>
      </c>
      <c r="T62" s="285">
        <f>$F62*'Acidi &amp; concimi'!AV46*1000</f>
        <v>0</v>
      </c>
      <c r="U62" s="285">
        <f>$F62*'Acidi &amp; concimi'!AW46*1000</f>
        <v>0</v>
      </c>
      <c r="V62" s="295"/>
    </row>
    <row r="63" spans="1:22">
      <c r="A63" s="269" t="s">
        <v>64</v>
      </c>
      <c r="B63" s="6" t="str">
        <f>'Acidi &amp; concimi'!B47</f>
        <v>Copper  chelate (EDTA)</v>
      </c>
      <c r="C63" s="6" t="s">
        <v>69</v>
      </c>
      <c r="D63" s="258">
        <f>-$R$13/'Acidi &amp; concimi'!AT47/1000</f>
        <v>0</v>
      </c>
      <c r="E63" s="296">
        <f>IF(A63="Y",IF(D63&gt;0,D63,0),0)</f>
        <v>0</v>
      </c>
      <c r="F63" s="284">
        <v>0</v>
      </c>
      <c r="G63" s="293">
        <f>$F63*'Acidi &amp; concimi'!AI47</f>
        <v>0</v>
      </c>
      <c r="H63" s="293">
        <f>$F63*'Acidi &amp; concimi'!AJ47</f>
        <v>0</v>
      </c>
      <c r="I63" s="293">
        <f>$F63*'Acidi &amp; concimi'!AK47</f>
        <v>0</v>
      </c>
      <c r="J63" s="293">
        <f>$F63*'Acidi &amp; concimi'!AL47</f>
        <v>0</v>
      </c>
      <c r="K63" s="293">
        <f>$F63*'Acidi &amp; concimi'!AM47</f>
        <v>0</v>
      </c>
      <c r="L63" s="293">
        <f>$F63*'Acidi &amp; concimi'!AN47</f>
        <v>0</v>
      </c>
      <c r="M63" s="293">
        <f>$F63*'Acidi &amp; concimi'!AO47</f>
        <v>0</v>
      </c>
      <c r="N63" s="293">
        <f>$F63*'Acidi &amp; concimi'!AP47</f>
        <v>0</v>
      </c>
      <c r="O63" s="294">
        <f>$F63*'Acidi &amp; concimi'!AQ47</f>
        <v>0</v>
      </c>
      <c r="P63" s="285">
        <f>$F63*'Acidi &amp; concimi'!AR47*1000</f>
        <v>0</v>
      </c>
      <c r="Q63" s="285">
        <f>$F63*'Acidi &amp; concimi'!AS47*1000</f>
        <v>0</v>
      </c>
      <c r="R63" s="285">
        <f>$F63*'Acidi &amp; concimi'!AT47*1000</f>
        <v>0</v>
      </c>
      <c r="S63" s="285">
        <f>$F63*'Acidi &amp; concimi'!AU47*1000</f>
        <v>0</v>
      </c>
      <c r="T63" s="285">
        <f>$F63*'Acidi &amp; concimi'!AV47*1000</f>
        <v>0</v>
      </c>
      <c r="U63" s="285">
        <f>$F63*'Acidi &amp; concimi'!AW47*1000</f>
        <v>0</v>
      </c>
      <c r="V63" s="295"/>
    </row>
    <row r="64" spans="1:22">
      <c r="A64" s="269" t="s">
        <v>354</v>
      </c>
      <c r="B64" s="6" t="str">
        <f>'Acidi &amp; concimi'!B48</f>
        <v>Zinc sulphate</v>
      </c>
      <c r="C64" s="6" t="s">
        <v>69</v>
      </c>
      <c r="D64" s="258">
        <f>-$S$13/'Acidi &amp; concimi'!AU48/1000</f>
        <v>0</v>
      </c>
      <c r="E64" s="296">
        <f>IF(A64="Y",IF(A65="Y",IF(D64&gt;0,D64/2,0),IF(D64&gt;0,D64,0)),0)</f>
        <v>0</v>
      </c>
      <c r="F64" s="284">
        <v>1.4400881057268722</v>
      </c>
      <c r="G64" s="293">
        <f>$F64*'Acidi &amp; concimi'!AI48</f>
        <v>0</v>
      </c>
      <c r="H64" s="293">
        <f>$F64*'Acidi &amp; concimi'!AJ48</f>
        <v>0</v>
      </c>
      <c r="I64" s="293">
        <f>$F64*'Acidi &amp; concimi'!AK48</f>
        <v>0</v>
      </c>
      <c r="J64" s="293">
        <f>$F64*'Acidi &amp; concimi'!AL48</f>
        <v>0</v>
      </c>
      <c r="K64" s="293">
        <f>$F64*'Acidi &amp; concimi'!AM48</f>
        <v>0</v>
      </c>
      <c r="L64" s="293">
        <f>$F64*'Acidi &amp; concimi'!AN48</f>
        <v>0</v>
      </c>
      <c r="M64" s="293">
        <f>$F64*'Acidi &amp; concimi'!AO48</f>
        <v>0</v>
      </c>
      <c r="N64" s="293">
        <f>$F64*'Acidi &amp; concimi'!AP48</f>
        <v>4.9943175323362088E-3</v>
      </c>
      <c r="O64" s="294">
        <f>$F64*'Acidi &amp; concimi'!AQ48</f>
        <v>0</v>
      </c>
      <c r="P64" s="285">
        <f>$F64*'Acidi &amp; concimi'!AR48*1000</f>
        <v>0</v>
      </c>
      <c r="Q64" s="285">
        <f>$F64*'Acidi &amp; concimi'!AS48*1000</f>
        <v>0</v>
      </c>
      <c r="R64" s="285">
        <f>$F64*'Acidi &amp; concimi'!AT48*1000</f>
        <v>0</v>
      </c>
      <c r="S64" s="285">
        <f>$F64*'Acidi &amp; concimi'!AU48*1000</f>
        <v>5</v>
      </c>
      <c r="T64" s="285">
        <f>$F64*'Acidi &amp; concimi'!AV48*1000</f>
        <v>0</v>
      </c>
      <c r="U64" s="285">
        <f>$F64*'Acidi &amp; concimi'!AW48*1000</f>
        <v>0</v>
      </c>
      <c r="V64" s="295"/>
    </row>
    <row r="65" spans="1:22">
      <c r="A65" s="269" t="s">
        <v>64</v>
      </c>
      <c r="B65" s="6" t="str">
        <f>'Acidi &amp; concimi'!B49</f>
        <v>Zinc chelate (EDTA)</v>
      </c>
      <c r="C65" s="6" t="s">
        <v>69</v>
      </c>
      <c r="D65" s="258">
        <f>-$S$13/'Acidi &amp; concimi'!AU49/1000</f>
        <v>0</v>
      </c>
      <c r="E65" s="296">
        <f>IF(A65="Y",IF(D65&gt;0,D65,0),0)</f>
        <v>0</v>
      </c>
      <c r="F65" s="284">
        <v>0</v>
      </c>
      <c r="G65" s="293">
        <f>$F65*'Acidi &amp; concimi'!AI49</f>
        <v>0</v>
      </c>
      <c r="H65" s="293">
        <f>$F65*'Acidi &amp; concimi'!AJ49</f>
        <v>0</v>
      </c>
      <c r="I65" s="293">
        <f>$F65*'Acidi &amp; concimi'!AK49</f>
        <v>0</v>
      </c>
      <c r="J65" s="293">
        <f>$F65*'Acidi &amp; concimi'!AL49</f>
        <v>0</v>
      </c>
      <c r="K65" s="293">
        <f>$F65*'Acidi &amp; concimi'!AM49</f>
        <v>0</v>
      </c>
      <c r="L65" s="293">
        <f>$F65*'Acidi &amp; concimi'!AN49</f>
        <v>0</v>
      </c>
      <c r="M65" s="293">
        <f>$F65*'Acidi &amp; concimi'!AO49</f>
        <v>0</v>
      </c>
      <c r="N65" s="293">
        <f>$F65*'Acidi &amp; concimi'!AP49</f>
        <v>0</v>
      </c>
      <c r="O65" s="294">
        <f>$F65*'Acidi &amp; concimi'!AQ49</f>
        <v>0</v>
      </c>
      <c r="P65" s="285">
        <f>$F65*'Acidi &amp; concimi'!AR49*1000</f>
        <v>0</v>
      </c>
      <c r="Q65" s="285">
        <f>$F65*'Acidi &amp; concimi'!AS49*1000</f>
        <v>0</v>
      </c>
      <c r="R65" s="285">
        <f>$F65*'Acidi &amp; concimi'!AT49*1000</f>
        <v>0</v>
      </c>
      <c r="S65" s="285">
        <f>$F65*'Acidi &amp; concimi'!AU49*1000</f>
        <v>0</v>
      </c>
      <c r="T65" s="285">
        <f>$F65*'Acidi &amp; concimi'!AV49*1000</f>
        <v>0</v>
      </c>
      <c r="U65" s="285">
        <f>$F65*'Acidi &amp; concimi'!AW49*1000</f>
        <v>0</v>
      </c>
      <c r="V65" s="295"/>
    </row>
    <row r="66" spans="1:22">
      <c r="A66" s="269" t="s">
        <v>354</v>
      </c>
      <c r="B66" s="6" t="str">
        <f>'Acidi &amp; concimi'!B50</f>
        <v>Manganese sulphate</v>
      </c>
      <c r="C66" s="6" t="s">
        <v>69</v>
      </c>
      <c r="D66" s="258">
        <f>-$T$13/'Acidi &amp; concimi'!AV50/1000</f>
        <v>0</v>
      </c>
      <c r="E66" s="296">
        <f>IF(A66="Y",IF(A67="Y",IF(D66&gt;0,D66/2,0),IF(D66&gt;0,D66,0)),0)</f>
        <v>0</v>
      </c>
      <c r="F66" s="284">
        <v>1.6904615384615385</v>
      </c>
      <c r="G66" s="293">
        <f>$F66*'Acidi &amp; concimi'!AI50</f>
        <v>0</v>
      </c>
      <c r="H66" s="293">
        <f>$F66*'Acidi &amp; concimi'!AJ50</f>
        <v>0</v>
      </c>
      <c r="I66" s="293">
        <f>$F66*'Acidi &amp; concimi'!AK50</f>
        <v>0</v>
      </c>
      <c r="J66" s="293">
        <f>$F66*'Acidi &amp; concimi'!AL50</f>
        <v>0</v>
      </c>
      <c r="K66" s="293">
        <f>$F66*'Acidi &amp; concimi'!AM50</f>
        <v>0</v>
      </c>
      <c r="L66" s="293">
        <f>$F66*'Acidi &amp; concimi'!AN50</f>
        <v>0</v>
      </c>
      <c r="M66" s="293">
        <f>$F66*'Acidi &amp; concimi'!AO50</f>
        <v>0</v>
      </c>
      <c r="N66" s="293">
        <f>$F66*'Acidi &amp; concimi'!AP50</f>
        <v>1.0017081222171043E-2</v>
      </c>
      <c r="O66" s="294">
        <f>$F66*'Acidi &amp; concimi'!AQ50</f>
        <v>0</v>
      </c>
      <c r="P66" s="285">
        <f>$F66*'Acidi &amp; concimi'!AR50*1000</f>
        <v>0</v>
      </c>
      <c r="Q66" s="285">
        <f>$F66*'Acidi &amp; concimi'!AS50*1000</f>
        <v>0</v>
      </c>
      <c r="R66" s="285">
        <f>$F66*'Acidi &amp; concimi'!AT50*1000</f>
        <v>0</v>
      </c>
      <c r="S66" s="285">
        <f>$F66*'Acidi &amp; concimi'!AU50*1000</f>
        <v>0</v>
      </c>
      <c r="T66" s="285">
        <f>$F66*'Acidi &amp; concimi'!AV50*1000</f>
        <v>10</v>
      </c>
      <c r="U66" s="285">
        <f>$F66*'Acidi &amp; concimi'!AW50*1000</f>
        <v>0</v>
      </c>
      <c r="V66" s="295"/>
    </row>
    <row r="67" spans="1:22">
      <c r="A67" s="269" t="s">
        <v>64</v>
      </c>
      <c r="B67" s="6" t="str">
        <f>'Acidi &amp; concimi'!B51</f>
        <v>Manganese chelate</v>
      </c>
      <c r="C67" s="6" t="s">
        <v>69</v>
      </c>
      <c r="D67" s="258">
        <f>-$T$13/'Acidi &amp; concimi'!AV51/1000</f>
        <v>0</v>
      </c>
      <c r="E67" s="296">
        <f>IF(A67="Y",IF(D67&gt;0,D67,0),0)</f>
        <v>0</v>
      </c>
      <c r="F67" s="284">
        <v>0</v>
      </c>
      <c r="G67" s="293">
        <f>$F67*'Acidi &amp; concimi'!AI51</f>
        <v>0</v>
      </c>
      <c r="H67" s="293">
        <f>$F67*'Acidi &amp; concimi'!AJ51</f>
        <v>0</v>
      </c>
      <c r="I67" s="293">
        <f>$F67*'Acidi &amp; concimi'!AK51</f>
        <v>0</v>
      </c>
      <c r="J67" s="293">
        <f>$F67*'Acidi &amp; concimi'!AL51</f>
        <v>0</v>
      </c>
      <c r="K67" s="293">
        <f>$F67*'Acidi &amp; concimi'!AM51</f>
        <v>0</v>
      </c>
      <c r="L67" s="293">
        <f>$F67*'Acidi &amp; concimi'!AN51</f>
        <v>0</v>
      </c>
      <c r="M67" s="293">
        <f>$F67*'Acidi &amp; concimi'!AO51</f>
        <v>0</v>
      </c>
      <c r="N67" s="293">
        <f>$F67*'Acidi &amp; concimi'!AP51</f>
        <v>0</v>
      </c>
      <c r="O67" s="294">
        <f>$F67*'Acidi &amp; concimi'!AQ51</f>
        <v>0</v>
      </c>
      <c r="P67" s="285">
        <f>$F67*'Acidi &amp; concimi'!AR51*1000</f>
        <v>0</v>
      </c>
      <c r="Q67" s="285">
        <f>$F67*'Acidi &amp; concimi'!AS51*1000</f>
        <v>0</v>
      </c>
      <c r="R67" s="285">
        <f>$F67*'Acidi &amp; concimi'!AT51*1000</f>
        <v>0</v>
      </c>
      <c r="S67" s="285">
        <f>$F67*'Acidi &amp; concimi'!AU51*1000</f>
        <v>0</v>
      </c>
      <c r="T67" s="285">
        <f>$F67*'Acidi &amp; concimi'!AV51*1000</f>
        <v>0</v>
      </c>
      <c r="U67" s="285">
        <f>$F67*'Acidi &amp; concimi'!AW51*1000</f>
        <v>0</v>
      </c>
      <c r="V67" s="295"/>
    </row>
    <row r="68" spans="1:22">
      <c r="A68" s="269" t="s">
        <v>354</v>
      </c>
      <c r="B68" s="6" t="str">
        <f>'Acidi &amp; concimi'!B52</f>
        <v>Ammonium heptamolybdate</v>
      </c>
      <c r="C68" s="6" t="s">
        <v>69</v>
      </c>
      <c r="D68" s="258">
        <f>-$U$13/'Acidi &amp; concimi'!AW52/1000</f>
        <v>0</v>
      </c>
      <c r="E68" s="296">
        <f>IF(A68="Y",IF(A69="Y",IF(D68&gt;0,D68/2,0),IF(D68&gt;0,D68,0)),0)</f>
        <v>0</v>
      </c>
      <c r="F68" s="284">
        <v>0.17637867647058825</v>
      </c>
      <c r="G68" s="293">
        <f>$F68*'Acidi &amp; concimi'!AI52</f>
        <v>0</v>
      </c>
      <c r="H68" s="293">
        <f>$F68*'Acidi &amp; concimi'!AJ52</f>
        <v>1.7629053120498577E-3</v>
      </c>
      <c r="I68" s="293">
        <f>$F68*'Acidi &amp; concimi'!AK52</f>
        <v>0</v>
      </c>
      <c r="J68" s="293">
        <f>$F68*'Acidi &amp; concimi'!AL52</f>
        <v>0</v>
      </c>
      <c r="K68" s="293">
        <f>$F68*'Acidi &amp; concimi'!AM52</f>
        <v>0</v>
      </c>
      <c r="L68" s="293">
        <f>$F68*'Acidi &amp; concimi'!AN52</f>
        <v>0</v>
      </c>
      <c r="M68" s="293">
        <f>$F68*'Acidi &amp; concimi'!AO52</f>
        <v>0</v>
      </c>
      <c r="N68" s="293">
        <f>$F68*'Acidi &amp; concimi'!AP52</f>
        <v>0</v>
      </c>
      <c r="O68" s="294">
        <f>$F68*'Acidi &amp; concimi'!AQ52</f>
        <v>0</v>
      </c>
      <c r="P68" s="285">
        <f>$F68*'Acidi &amp; concimi'!AR52*1000</f>
        <v>0</v>
      </c>
      <c r="Q68" s="285">
        <f>$F68*'Acidi &amp; concimi'!AS52*1000</f>
        <v>0</v>
      </c>
      <c r="R68" s="285">
        <f>$F68*'Acidi &amp; concimi'!AT52*1000</f>
        <v>0</v>
      </c>
      <c r="S68" s="285">
        <f>$F68*'Acidi &amp; concimi'!AU52*1000</f>
        <v>0</v>
      </c>
      <c r="T68" s="285">
        <f>$F68*'Acidi &amp; concimi'!AV52*1000</f>
        <v>0</v>
      </c>
      <c r="U68" s="285">
        <f>$F68*'Acidi &amp; concimi'!AW52*1000</f>
        <v>1</v>
      </c>
      <c r="V68" s="295"/>
    </row>
    <row r="69" spans="1:22">
      <c r="A69" s="269" t="s">
        <v>64</v>
      </c>
      <c r="B69" s="6" t="str">
        <f>'Acidi &amp; concimi'!B53</f>
        <v>Sodium molybdate</v>
      </c>
      <c r="C69" s="6" t="s">
        <v>69</v>
      </c>
      <c r="D69" s="258">
        <f>-$U$13/'Acidi &amp; concimi'!AW53/1000</f>
        <v>0</v>
      </c>
      <c r="E69" s="296">
        <f>IF(A69="Y",IF(D69&gt;0,D69,0),0)</f>
        <v>0</v>
      </c>
      <c r="F69" s="284">
        <v>0</v>
      </c>
      <c r="G69" s="293">
        <f>$F69*'Acidi &amp; concimi'!AI53</f>
        <v>0</v>
      </c>
      <c r="H69" s="293">
        <f>$F69*'Acidi &amp; concimi'!AJ53</f>
        <v>0</v>
      </c>
      <c r="I69" s="293">
        <f>$F69*'Acidi &amp; concimi'!AK53</f>
        <v>0</v>
      </c>
      <c r="J69" s="293">
        <f>$F69*'Acidi &amp; concimi'!AL53</f>
        <v>0</v>
      </c>
      <c r="K69" s="293">
        <f>$F69*'Acidi &amp; concimi'!AM53</f>
        <v>0</v>
      </c>
      <c r="L69" s="293">
        <f>$F69*'Acidi &amp; concimi'!AN53</f>
        <v>0</v>
      </c>
      <c r="M69" s="293">
        <f>$F69*'Acidi &amp; concimi'!AO53</f>
        <v>0</v>
      </c>
      <c r="N69" s="293">
        <f>$F69*'Acidi &amp; concimi'!AP53</f>
        <v>0</v>
      </c>
      <c r="O69" s="294">
        <f>$F69*'Acidi &amp; concimi'!AQ53</f>
        <v>0</v>
      </c>
      <c r="P69" s="285">
        <f>$F69*'Acidi &amp; concimi'!AR53*1000</f>
        <v>0</v>
      </c>
      <c r="Q69" s="285">
        <f>$F69*'Acidi &amp; concimi'!AS53*1000</f>
        <v>0</v>
      </c>
      <c r="R69" s="285">
        <f>$F69*'Acidi &amp; concimi'!AT53*1000</f>
        <v>0</v>
      </c>
      <c r="S69" s="285">
        <f>$F69*'Acidi &amp; concimi'!AU53*1000</f>
        <v>0</v>
      </c>
      <c r="T69" s="285">
        <f>$F69*'Acidi &amp; concimi'!AV53*1000</f>
        <v>0</v>
      </c>
      <c r="U69" s="285">
        <f>$F69*'Acidi &amp; concimi'!AW53*1000</f>
        <v>0</v>
      </c>
      <c r="V69" s="295"/>
    </row>
    <row r="70" spans="1:22" ht="18">
      <c r="B70" s="263" t="s">
        <v>242</v>
      </c>
      <c r="C70" s="6"/>
      <c r="D70" s="297"/>
      <c r="E70" s="298"/>
      <c r="F70" s="276"/>
      <c r="G70" s="278"/>
      <c r="H70" s="278"/>
      <c r="I70" s="278"/>
      <c r="J70" s="278"/>
      <c r="K70" s="278"/>
      <c r="L70" s="278"/>
      <c r="M70" s="299"/>
      <c r="N70" s="299"/>
      <c r="O70" s="293"/>
      <c r="P70" s="278"/>
      <c r="Q70" s="278"/>
      <c r="R70" s="299"/>
      <c r="S70" s="278"/>
      <c r="T70" s="299"/>
      <c r="U70" s="299"/>
    </row>
    <row r="71" spans="1:22">
      <c r="A71" s="269" t="s">
        <v>64</v>
      </c>
      <c r="B71" s="6" t="str">
        <f>'Acidi &amp; concimi'!B55</f>
        <v>Sodium choride</v>
      </c>
      <c r="C71" s="6" t="s">
        <v>69</v>
      </c>
      <c r="D71" s="258">
        <f>-$M$13/'Acidi &amp; concimi'!AO55</f>
        <v>-0.58793094915666011</v>
      </c>
      <c r="E71" s="296">
        <f>IF(A71="Y",IF(D71&gt;0,D71,0),0)</f>
        <v>0</v>
      </c>
      <c r="F71" s="284">
        <v>0</v>
      </c>
      <c r="G71" s="293">
        <f>$F71*'Acidi &amp; concimi'!AI55</f>
        <v>0</v>
      </c>
      <c r="H71" s="293">
        <f>$F71*'Acidi &amp; concimi'!AJ55</f>
        <v>0</v>
      </c>
      <c r="I71" s="293">
        <f>$F71*'Acidi &amp; concimi'!AK55</f>
        <v>0</v>
      </c>
      <c r="J71" s="293">
        <f>$F71*'Acidi &amp; concimi'!AL55</f>
        <v>0</v>
      </c>
      <c r="K71" s="293">
        <f>$F71*'Acidi &amp; concimi'!AM55</f>
        <v>0</v>
      </c>
      <c r="L71" s="293">
        <f>$F71*'Acidi &amp; concimi'!AN55</f>
        <v>0</v>
      </c>
      <c r="M71" s="293">
        <f>$F71*'Acidi &amp; concimi'!AO55</f>
        <v>0</v>
      </c>
      <c r="N71" s="293">
        <f>$F71*'Acidi &amp; concimi'!AP55</f>
        <v>0</v>
      </c>
      <c r="O71" s="293">
        <f>$F71*'Acidi &amp; concimi'!AQ55</f>
        <v>0</v>
      </c>
      <c r="P71" s="285">
        <f>$F71*'Acidi &amp; concimi'!AR55*1000</f>
        <v>0</v>
      </c>
      <c r="Q71" s="285">
        <f>$F71*'Acidi &amp; concimi'!AS55*1000</f>
        <v>0</v>
      </c>
      <c r="R71" s="285">
        <f>$F71*'Acidi &amp; concimi'!AT55*1000</f>
        <v>0</v>
      </c>
      <c r="S71" s="285">
        <f>$F71*'Acidi &amp; concimi'!AU55*1000</f>
        <v>0</v>
      </c>
      <c r="T71" s="285">
        <f>$F71*'Acidi &amp; concimi'!AV55*1000</f>
        <v>0</v>
      </c>
      <c r="U71" s="285">
        <f>$F71*'Acidi &amp; concimi'!AW55*1000</f>
        <v>0</v>
      </c>
    </row>
    <row r="72" spans="1:22">
      <c r="B72" s="95"/>
      <c r="C72" s="95"/>
      <c r="D72" s="95"/>
      <c r="E72" s="240"/>
      <c r="F72" s="95"/>
      <c r="G72" s="95"/>
      <c r="H72" s="95"/>
      <c r="I72" s="95"/>
      <c r="J72" s="95"/>
      <c r="K72" s="95"/>
      <c r="L72" s="95"/>
      <c r="M72" s="95"/>
      <c r="N72" s="95"/>
      <c r="O72" s="95"/>
      <c r="P72" s="95"/>
      <c r="Q72" s="95"/>
      <c r="R72" s="95"/>
      <c r="S72" s="95"/>
      <c r="T72" s="95"/>
      <c r="U72" s="95"/>
    </row>
    <row r="73" spans="1:22" ht="21">
      <c r="B73" s="300" t="s">
        <v>243</v>
      </c>
      <c r="C73" s="95"/>
      <c r="G73" s="95"/>
      <c r="H73" s="525">
        <f>((F17*'Acidi &amp; concimi'!H10+Calcolo!F18*'Acidi &amp; concimi'!H11+Calcolo!F19*'Acidi &amp; concimi'!H12+Calcolo!F20*'Acidi &amp; concimi'!H13)/1000+(Calcolo!F24*'Acidi &amp; concimi'!H16+Calcolo!F25*'Acidi &amp; concimi'!H17+Calcolo!F26*'Acidi &amp; concimi'!H18+Calcolo!F42*'Acidi &amp; concimi'!H30+Calcolo!F43*'Acidi &amp; concimi'!H31+Calcolo!F30*'Acidi &amp; concimi'!H20+Calcolo!F29*'Acidi &amp; concimi'!H21+Calcolo!F31*'Acidi &amp; concimi'!H22+Calcolo!F34*'Acidi &amp; concimi'!H24+Calcolo!F35*'Acidi &amp; concimi'!H25+Calcolo!F36*'Acidi &amp; concimi'!H26+Calcolo!F39*'Acidi &amp; concimi'!H28+Calcolo!F46*'Acidi &amp; concimi'!H33+Calcolo!F49*'Acidi &amp; concimi'!H34+Calcolo!F50*'Acidi &amp; concimi'!H35+AO85)/1000000)*(Parametri!I27*Parametri!I28)</f>
        <v>19.901922978359742</v>
      </c>
      <c r="I73" s="525"/>
      <c r="J73" s="302" t="s">
        <v>49</v>
      </c>
      <c r="K73" s="303" t="s">
        <v>244</v>
      </c>
      <c r="L73" s="304"/>
      <c r="M73" s="304"/>
      <c r="N73" s="304"/>
      <c r="O73" s="95"/>
      <c r="P73" s="242"/>
      <c r="Q73" s="247"/>
      <c r="R73" s="242"/>
      <c r="T73" s="441">
        <f>H73/(Parametri!I27*Parametri!I28)*1000</f>
        <v>0.99509614891798714</v>
      </c>
      <c r="U73" s="95"/>
    </row>
    <row r="74" spans="1:22">
      <c r="B74" s="95"/>
      <c r="C74" s="95"/>
      <c r="D74" s="95"/>
      <c r="E74" s="240"/>
      <c r="F74" s="95"/>
      <c r="G74" s="95"/>
      <c r="H74" s="95"/>
      <c r="I74" s="95"/>
      <c r="J74" s="95"/>
      <c r="K74" s="95"/>
      <c r="L74" s="95"/>
      <c r="M74" s="95"/>
      <c r="N74" s="95"/>
      <c r="O74" s="95"/>
      <c r="P74" s="95"/>
      <c r="Q74" s="95"/>
      <c r="R74" s="95"/>
      <c r="S74" s="95"/>
      <c r="T74" s="95"/>
      <c r="U74" s="95"/>
    </row>
    <row r="75" spans="1:22">
      <c r="B75" s="95"/>
      <c r="C75" s="95"/>
      <c r="D75" s="95"/>
      <c r="E75" s="240"/>
      <c r="F75" s="95"/>
      <c r="G75" s="95"/>
      <c r="H75" s="95"/>
      <c r="I75" s="95"/>
      <c r="J75" s="95"/>
      <c r="K75" s="95"/>
      <c r="L75" s="95"/>
      <c r="M75" s="95"/>
      <c r="N75" s="95"/>
      <c r="O75" s="95"/>
      <c r="P75" s="95"/>
      <c r="Q75" s="95"/>
      <c r="R75" s="95"/>
      <c r="S75" s="95"/>
      <c r="T75" s="95"/>
      <c r="U75" s="95"/>
    </row>
    <row r="76" spans="1:22">
      <c r="B76" s="95"/>
      <c r="C76" s="95"/>
      <c r="D76" s="95"/>
      <c r="E76" s="240"/>
      <c r="F76" s="95"/>
      <c r="G76" s="95"/>
      <c r="H76" s="95"/>
      <c r="I76" s="95"/>
      <c r="J76" s="95"/>
      <c r="K76" s="95"/>
      <c r="L76" s="95"/>
      <c r="M76" s="95"/>
      <c r="N76" s="95"/>
      <c r="O76" s="95"/>
      <c r="P76" s="95"/>
      <c r="Q76" s="95"/>
      <c r="R76" s="95"/>
      <c r="S76" s="95"/>
      <c r="T76" s="95"/>
      <c r="U76" s="95"/>
    </row>
    <row r="77" spans="1:22">
      <c r="B77" s="95"/>
      <c r="C77" s="95"/>
      <c r="D77" s="95"/>
      <c r="E77" s="240"/>
      <c r="F77" s="95"/>
      <c r="G77" s="95"/>
      <c r="H77" s="95"/>
      <c r="I77" s="95"/>
      <c r="J77" s="95"/>
      <c r="K77" s="95"/>
      <c r="L77" s="95"/>
      <c r="M77" s="95"/>
      <c r="N77" s="95"/>
      <c r="O77" s="95"/>
      <c r="P77" s="95"/>
      <c r="Q77" s="95"/>
      <c r="R77" s="95"/>
      <c r="S77" s="95"/>
      <c r="T77" s="95"/>
      <c r="U77" s="95"/>
    </row>
    <row r="78" spans="1:22">
      <c r="B78" s="95"/>
      <c r="C78" s="95"/>
      <c r="D78" s="95"/>
      <c r="E78" s="240"/>
      <c r="F78" s="95"/>
      <c r="G78" s="95"/>
      <c r="H78" s="95"/>
      <c r="I78" s="95"/>
      <c r="J78" s="95"/>
      <c r="K78" s="95"/>
      <c r="L78" s="95"/>
      <c r="M78" s="95"/>
      <c r="N78" s="95"/>
      <c r="O78" s="95"/>
      <c r="P78" s="95"/>
      <c r="Q78" s="95"/>
      <c r="R78" s="95"/>
      <c r="S78" s="95"/>
      <c r="T78" s="95"/>
      <c r="U78" s="95"/>
    </row>
    <row r="79" spans="1:22">
      <c r="B79" s="95"/>
      <c r="C79" s="95"/>
      <c r="D79" s="95"/>
      <c r="E79" s="240"/>
      <c r="F79" s="95"/>
      <c r="G79" s="95"/>
      <c r="H79" s="95"/>
      <c r="I79" s="95"/>
      <c r="J79" s="95"/>
      <c r="K79" s="95"/>
      <c r="L79" s="95"/>
      <c r="M79" s="95"/>
      <c r="N79" s="95"/>
      <c r="O79" s="95"/>
      <c r="P79" s="95"/>
      <c r="Q79" s="95"/>
      <c r="R79" s="95"/>
      <c r="S79" s="95"/>
      <c r="T79" s="95"/>
      <c r="U79" s="95"/>
    </row>
    <row r="80" spans="1:22">
      <c r="B80" s="95"/>
      <c r="C80" s="95"/>
      <c r="D80" s="95"/>
      <c r="E80" s="240"/>
      <c r="F80" s="95"/>
      <c r="G80" s="95"/>
      <c r="H80" s="95"/>
      <c r="I80" s="95"/>
      <c r="J80" s="95"/>
      <c r="K80" s="95"/>
      <c r="L80" s="95"/>
      <c r="M80" s="95"/>
      <c r="N80" s="95"/>
      <c r="O80" s="95"/>
      <c r="P80" s="95"/>
      <c r="Q80" s="95"/>
      <c r="R80" s="95"/>
      <c r="S80" s="95"/>
      <c r="T80" s="95"/>
      <c r="U80" s="95"/>
    </row>
    <row r="81" spans="2:41">
      <c r="B81" s="95"/>
      <c r="C81" s="95"/>
      <c r="D81" s="95"/>
      <c r="E81" s="240"/>
      <c r="F81" s="95"/>
      <c r="G81" s="95"/>
      <c r="H81" s="95"/>
      <c r="I81" s="95"/>
      <c r="J81" s="95"/>
      <c r="K81" s="95"/>
      <c r="L81" s="95"/>
      <c r="M81" s="95"/>
      <c r="N81" s="95"/>
      <c r="O81" s="95"/>
      <c r="P81" s="95"/>
      <c r="Q81" s="95"/>
      <c r="R81" s="95"/>
      <c r="S81" s="95"/>
      <c r="T81" s="95"/>
      <c r="U81" s="95"/>
    </row>
    <row r="82" spans="2:41">
      <c r="B82" s="95"/>
      <c r="C82" s="95"/>
      <c r="D82" s="95"/>
      <c r="E82" s="240"/>
      <c r="F82" s="95"/>
      <c r="G82" s="95"/>
      <c r="H82" s="95"/>
      <c r="I82" s="95"/>
      <c r="J82" s="95"/>
      <c r="K82" s="95"/>
      <c r="L82" s="95"/>
      <c r="M82" s="95"/>
      <c r="N82" s="95"/>
      <c r="O82" s="95"/>
      <c r="P82" s="95"/>
      <c r="Q82" s="95"/>
      <c r="R82" s="95"/>
      <c r="S82" s="95"/>
      <c r="T82" s="95"/>
      <c r="U82" s="95"/>
    </row>
    <row r="83" spans="2:41">
      <c r="B83" s="95"/>
      <c r="C83" s="95"/>
      <c r="D83" s="95"/>
      <c r="E83" s="240"/>
      <c r="F83" s="95"/>
      <c r="G83" s="95"/>
      <c r="H83" s="95"/>
      <c r="I83" s="95"/>
      <c r="J83" s="95"/>
      <c r="K83" s="95"/>
      <c r="L83" s="95"/>
      <c r="M83" s="95"/>
      <c r="N83" s="95"/>
      <c r="O83" s="95"/>
      <c r="P83" s="95"/>
      <c r="Q83" s="95"/>
      <c r="R83" s="95"/>
      <c r="S83" s="95"/>
      <c r="T83" s="95"/>
      <c r="U83" s="95"/>
    </row>
    <row r="84" spans="2:41">
      <c r="B84" s="95"/>
      <c r="C84" s="95"/>
      <c r="D84" s="95"/>
      <c r="E84" s="240"/>
      <c r="F84" s="95"/>
      <c r="G84" s="95"/>
      <c r="H84" s="95"/>
      <c r="I84" s="95"/>
      <c r="J84" s="95"/>
      <c r="K84" s="95"/>
      <c r="L84" s="95"/>
      <c r="M84" s="95"/>
      <c r="N84" s="95"/>
      <c r="O84" s="95"/>
      <c r="P84" s="95"/>
      <c r="Q84" s="95"/>
      <c r="R84" s="95"/>
      <c r="S84" s="95"/>
      <c r="T84" s="95"/>
      <c r="U84" s="95"/>
    </row>
    <row r="85" spans="2:41">
      <c r="AO85" s="65">
        <f>Calcolo!F53*'Acidi &amp; concimi'!H37+Calcolo!F54*'Acidi &amp; concimi'!H38+Calcolo!F55*'Acidi &amp; concimi'!H39+Calcolo!F58*'Acidi &amp; concimi'!H42+Calcolo!F59*'Acidi &amp; concimi'!H43+Calcolo!F60*'Acidi &amp; concimi'!H44+Calcolo!F61*'Acidi &amp; concimi'!H45+Calcolo!F62*'Acidi &amp; concimi'!H46+Calcolo!F63*'Acidi &amp; concimi'!H47+Calcolo!F64*'Acidi &amp; concimi'!H48+Calcolo!F65*'Acidi &amp; concimi'!H49+Calcolo!F66*'Acidi &amp; concimi'!H50+Calcolo!F67*'Acidi &amp; concimi'!H51+Calcolo!F68*'Acidi &amp; concimi'!H52+Calcolo!F69*'Acidi &amp; concimi'!H53+Calcolo!F71*'Acidi &amp; concimi'!H55</f>
        <v>158.52379141365407</v>
      </c>
    </row>
  </sheetData>
  <sheetProtection algorithmName="SHA-512" hashValue="ZslkuF+MzzRcmRZMxjMfbD/V8ojh+/x8dOt84ZhI97mgBbQjJDbbaAAbLA29awxcvYzB2fvVTT1KuUmqzJYlFA==" saltValue="3W/Wmbs6QQujQLCBAhrMqQ==" spinCount="100000" sheet="1" objects="1" scenarios="1"/>
  <mergeCells count="7">
    <mergeCell ref="H73:I73"/>
    <mergeCell ref="J6:M6"/>
    <mergeCell ref="J2:M2"/>
    <mergeCell ref="O2:R2"/>
    <mergeCell ref="J4:M4"/>
    <mergeCell ref="O4:R4"/>
    <mergeCell ref="O6:R6"/>
  </mergeCells>
  <phoneticPr fontId="6" type="noConversion"/>
  <conditionalFormatting sqref="E60:E69">
    <cfRule type="expression" dxfId="40" priority="1" stopIfTrue="1">
      <formula>(($Q$13)^2)&gt;0.0004</formula>
    </cfRule>
    <cfRule type="expression" dxfId="39" priority="2" stopIfTrue="1">
      <formula>(($Q$13)^2)&lt;0.00041</formula>
    </cfRule>
  </conditionalFormatting>
  <conditionalFormatting sqref="E71">
    <cfRule type="expression" dxfId="38" priority="3" stopIfTrue="1">
      <formula>(($M$13)^2)&gt;9</formula>
    </cfRule>
    <cfRule type="expression" dxfId="37" priority="4" stopIfTrue="1">
      <formula>(($M$13)^2)&lt;9.01</formula>
    </cfRule>
  </conditionalFormatting>
  <conditionalFormatting sqref="G15:M15 F13">
    <cfRule type="expression" dxfId="36" priority="5" stopIfTrue="1">
      <formula>(($F$13)^2)&gt;0.00009</formula>
    </cfRule>
    <cfRule type="expression" dxfId="35" priority="6" stopIfTrue="1">
      <formula>(($F$13)^2)&lt;0.000091</formula>
    </cfRule>
  </conditionalFormatting>
  <conditionalFormatting sqref="F28:T28 K13">
    <cfRule type="expression" dxfId="34" priority="7" stopIfTrue="1">
      <formula>(($K$13)^2)&gt;0.011027</formula>
    </cfRule>
    <cfRule type="expression" dxfId="33" priority="8" stopIfTrue="1">
      <formula>(($K$13)^2)&lt;0.011026</formula>
    </cfRule>
  </conditionalFormatting>
  <conditionalFormatting sqref="H13 F33:T33">
    <cfRule type="expression" dxfId="32" priority="9" stopIfTrue="1">
      <formula>(($H$13)^2)&gt;0.011027</formula>
    </cfRule>
    <cfRule type="expression" dxfId="31" priority="10" stopIfTrue="1">
      <formula>(($H$13)^2)&lt;0.011026</formula>
    </cfRule>
  </conditionalFormatting>
  <conditionalFormatting sqref="I13 F38:T38">
    <cfRule type="expression" dxfId="30" priority="11" stopIfTrue="1">
      <formula>(($I$13)^2)&gt;0.011027</formula>
    </cfRule>
    <cfRule type="expression" dxfId="29" priority="12" stopIfTrue="1">
      <formula>(($I$13)^2)&lt;0.011026</formula>
    </cfRule>
  </conditionalFormatting>
  <conditionalFormatting sqref="F48:T48 J13">
    <cfRule type="expression" dxfId="28" priority="13" stopIfTrue="1">
      <formula>(($J$13)^2)&gt;0.011027</formula>
    </cfRule>
    <cfRule type="expression" dxfId="27" priority="14" stopIfTrue="1">
      <formula>(($J$13)^2)&lt;0.0110271</formula>
    </cfRule>
  </conditionalFormatting>
  <conditionalFormatting sqref="L13 F41:T41">
    <cfRule type="expression" dxfId="26" priority="15" stopIfTrue="1">
      <formula>(($L$13)^2)&gt;0.011027</formula>
    </cfRule>
    <cfRule type="expression" dxfId="25" priority="16" stopIfTrue="1">
      <formula>(($L$13)^2)&lt;0.0110271</formula>
    </cfRule>
  </conditionalFormatting>
  <conditionalFormatting sqref="G13 F45:T45">
    <cfRule type="expression" dxfId="24" priority="17" stopIfTrue="1">
      <formula>(($G$13)^2)&gt;0.0420227</formula>
    </cfRule>
    <cfRule type="expression" dxfId="23" priority="18" stopIfTrue="1">
      <formula>(($G$13)^2)&lt;0.04202271</formula>
    </cfRule>
  </conditionalFormatting>
  <conditionalFormatting sqref="F52:T52 P13">
    <cfRule type="expression" dxfId="22" priority="19" stopIfTrue="1">
      <formula>(($P$13)^2)&gt;1.02</formula>
    </cfRule>
    <cfRule type="expression" dxfId="21" priority="20" stopIfTrue="1">
      <formula>(($P$13)^2)&lt;1.0201</formula>
    </cfRule>
  </conditionalFormatting>
  <conditionalFormatting sqref="Q13 D60:D61">
    <cfRule type="expression" dxfId="20" priority="21" stopIfTrue="1">
      <formula>(($Q$13)^2)&gt;1.02</formula>
    </cfRule>
    <cfRule type="expression" dxfId="19" priority="22" stopIfTrue="1">
      <formula>(($Q$13)^2)&lt;1.0201</formula>
    </cfRule>
  </conditionalFormatting>
  <conditionalFormatting sqref="D62:D63">
    <cfRule type="expression" dxfId="18" priority="23" stopIfTrue="1">
      <formula>(($R$13)^2)&gt;0.011027</formula>
    </cfRule>
    <cfRule type="expression" dxfId="17" priority="24" stopIfTrue="1">
      <formula>(($R$13)^2)&lt;0.0110271</formula>
    </cfRule>
  </conditionalFormatting>
  <conditionalFormatting sqref="D64:D65">
    <cfRule type="expression" dxfId="16" priority="25" stopIfTrue="1">
      <formula>(($S$13)^2)&gt;0.011027</formula>
    </cfRule>
    <cfRule type="expression" dxfId="15" priority="26" stopIfTrue="1">
      <formula>(($S$13)^2)&lt;0.0110271</formula>
    </cfRule>
  </conditionalFormatting>
  <conditionalFormatting sqref="R13">
    <cfRule type="expression" dxfId="14" priority="27" stopIfTrue="1">
      <formula>(($R$13)^2)&gt;0.0420227</formula>
    </cfRule>
    <cfRule type="expression" dxfId="13" priority="28" stopIfTrue="1">
      <formula>(($R$13)^2)&lt;0.04202271</formula>
    </cfRule>
  </conditionalFormatting>
  <conditionalFormatting sqref="S13">
    <cfRule type="expression" dxfId="12" priority="29" stopIfTrue="1">
      <formula>(($S$13)^2)&gt;0.0420227</formula>
    </cfRule>
    <cfRule type="expression" dxfId="11" priority="30" stopIfTrue="1">
      <formula>(($S$13)^2)&lt;0.04202271</formula>
    </cfRule>
  </conditionalFormatting>
  <conditionalFormatting sqref="T13 D66:D67">
    <cfRule type="expression" dxfId="10" priority="31" stopIfTrue="1">
      <formula>(($T$13)^2)&gt;0.0420227</formula>
    </cfRule>
    <cfRule type="expression" dxfId="9" priority="32" stopIfTrue="1">
      <formula>(($T$13)^2)&lt;0.04202271</formula>
    </cfRule>
  </conditionalFormatting>
  <conditionalFormatting sqref="U13 D68:D69">
    <cfRule type="expression" dxfId="8" priority="33" stopIfTrue="1">
      <formula>(($U$13)^2)&gt;0.0420227</formula>
    </cfRule>
    <cfRule type="expression" dxfId="7" priority="34" stopIfTrue="1">
      <formula>(($U$13)^2)&lt;0.04202271</formula>
    </cfRule>
  </conditionalFormatting>
  <conditionalFormatting sqref="M13 D71">
    <cfRule type="expression" dxfId="6" priority="35" stopIfTrue="1">
      <formula>(($M$13)^2)&gt;0.011027</formula>
    </cfRule>
    <cfRule type="expression" dxfId="5" priority="36" stopIfTrue="1">
      <formula>(($M$13)^2)&lt;0.0110271</formula>
    </cfRule>
  </conditionalFormatting>
  <dataValidations count="1">
    <dataValidation type="list" allowBlank="1" showInputMessage="1" showErrorMessage="1" errorTitle="ATTIVAZIONE CALCOLO AUTOMATICO" error="Inserire S o N per attivare o disattivare la scelta del sale o acido nel calcolo automatico" promptTitle="ACTIVATION AUTOMATIC CALCULATION" prompt="Select Y or N in order to use or not this salt or acid" sqref="A17:A19 A29:A31 A34:A36 A39 A42:A43 A46 A49:A50 A53:A55 A60:A69 A71">
      <formula1>$BA$8:$BA$9</formula1>
    </dataValidation>
  </dataValidations>
  <hyperlinks>
    <hyperlink ref="J4:M4" location="'Formule nutritive'!A5" display="Recipe database"/>
    <hyperlink ref="J6:M6" location="Stampa!B1" display="Print  nutrient solution"/>
    <hyperlink ref="O4:R4" location="'Acidi &amp; concimi'!A5" display="Fertilizer and acid database"/>
    <hyperlink ref="J2:M2" location="Istruzioni!A1" display="Quick start guide"/>
    <hyperlink ref="O2:R2" location="Convertitore!B9" display="Unit converter  ppm&gt; mM"/>
    <hyperlink ref="O6:R6" location="Parametri!A1" display="Input"/>
  </hyperlinks>
  <printOptions headings="1" gridLines="1"/>
  <pageMargins left="0.28000000000000003" right="0.46" top="0.52" bottom="0.28999999999999998" header="0.22" footer="0.5"/>
  <pageSetup paperSize="9" scale="80" orientation="portrait" horizontalDpi="4294967294" verticalDpi="300" r:id="rId1"/>
  <headerFooter alignWithMargins="0">
    <oddHeader>&amp;C&amp;F&amp;A</oddHeader>
  </headerFooter>
  <drawing r:id="rId2"/>
  <legacyDrawing r:id="rId3"/>
  <oleObjects>
    <mc:AlternateContent xmlns:mc="http://schemas.openxmlformats.org/markup-compatibility/2006">
      <mc:Choice Requires="x14">
        <oleObject progId="PBrush" shapeId="2103" r:id="rId4">
          <objectPr defaultSize="0" autoPict="0" r:id="rId5">
            <anchor moveWithCells="1">
              <from>
                <xdr:col>0</xdr:col>
                <xdr:colOff>76200</xdr:colOff>
                <xdr:row>0</xdr:row>
                <xdr:rowOff>82550</xdr:rowOff>
              </from>
              <to>
                <xdr:col>1</xdr:col>
                <xdr:colOff>438150</xdr:colOff>
                <xdr:row>1</xdr:row>
                <xdr:rowOff>12700</xdr:rowOff>
              </to>
            </anchor>
          </objectPr>
        </oleObject>
      </mc:Choice>
      <mc:Fallback>
        <oleObject progId="PBrush" shapeId="2103" r:id="rId4"/>
      </mc:Fallback>
    </mc:AlternateContent>
  </oleObjects>
  <mc:AlternateContent xmlns:mc="http://schemas.openxmlformats.org/markup-compatibility/2006">
    <mc:Choice Requires="x14">
      <controls>
        <mc:AlternateContent xmlns:mc="http://schemas.openxmlformats.org/markup-compatibility/2006">
          <mc:Choice Requires="x14">
            <control shapeId="2071" r:id="rId6" name="Button 23">
              <controlPr defaultSize="0" print="0" autoFill="0" autoPict="0" macro="[0]!Calcolo_a">
                <anchor moveWithCells="1" sizeWithCells="1">
                  <from>
                    <xdr:col>1</xdr:col>
                    <xdr:colOff>19050</xdr:colOff>
                    <xdr:row>1</xdr:row>
                    <xdr:rowOff>114300</xdr:rowOff>
                  </from>
                  <to>
                    <xdr:col>2</xdr:col>
                    <xdr:colOff>127000</xdr:colOff>
                    <xdr:row>5</xdr:row>
                    <xdr:rowOff>228600</xdr:rowOff>
                  </to>
                </anchor>
              </controlPr>
            </control>
          </mc:Choice>
        </mc:AlternateContent>
        <mc:AlternateContent xmlns:mc="http://schemas.openxmlformats.org/markup-compatibility/2006">
          <mc:Choice Requires="x14">
            <control shapeId="2072" r:id="rId7" name="Button 24">
              <controlPr defaultSize="0" print="0" autoFill="0" autoPict="0" macro="[0]!Annulla_CA">
                <anchor moveWithCells="1" sizeWithCells="1">
                  <from>
                    <xdr:col>3</xdr:col>
                    <xdr:colOff>133350</xdr:colOff>
                    <xdr:row>1</xdr:row>
                    <xdr:rowOff>133350</xdr:rowOff>
                  </from>
                  <to>
                    <xdr:col>6</xdr:col>
                    <xdr:colOff>615950</xdr:colOff>
                    <xdr:row>6</xdr:row>
                    <xdr:rowOff>0</xdr:rowOff>
                  </to>
                </anchor>
              </controlPr>
            </control>
          </mc:Choice>
        </mc:AlternateContent>
        <mc:AlternateContent xmlns:mc="http://schemas.openxmlformats.org/markup-compatibility/2006">
          <mc:Choice Requires="x14">
            <control shapeId="2093" r:id="rId8" name="Button 45">
              <controlPr defaultSize="0" print="0" autoFill="0" autoPict="0" macro="[0]!Calcolo_a">
                <anchor moveWithCells="1" sizeWithCells="1">
                  <from>
                    <xdr:col>1</xdr:col>
                    <xdr:colOff>6350</xdr:colOff>
                    <xdr:row>1</xdr:row>
                    <xdr:rowOff>107950</xdr:rowOff>
                  </from>
                  <to>
                    <xdr:col>2</xdr:col>
                    <xdr:colOff>114300</xdr:colOff>
                    <xdr:row>5</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5">
    <pageSetUpPr fitToPage="1"/>
  </sheetPr>
  <dimension ref="A1:AB124"/>
  <sheetViews>
    <sheetView showRowColHeaders="0" zoomScale="81" zoomScaleNormal="81" workbookViewId="0">
      <selection sqref="A1:R1"/>
    </sheetView>
  </sheetViews>
  <sheetFormatPr defaultColWidth="9" defaultRowHeight="17.5"/>
  <cols>
    <col min="1" max="1" width="2.83203125" style="212" customWidth="1"/>
    <col min="2" max="2" width="21" style="214" customWidth="1"/>
    <col min="3" max="3" width="16.25" style="214" customWidth="1"/>
    <col min="4" max="6" width="9" style="214"/>
    <col min="7" max="7" width="14.58203125" style="214" customWidth="1"/>
    <col min="8" max="8" width="11.58203125" style="214" customWidth="1"/>
    <col min="9" max="9" width="10.75" style="214" customWidth="1"/>
    <col min="10" max="10" width="9" style="214"/>
    <col min="11" max="12" width="10.83203125" style="214" customWidth="1"/>
    <col min="13" max="13" width="9.5" style="214" customWidth="1"/>
    <col min="14" max="14" width="9.83203125" style="214" customWidth="1"/>
    <col min="15" max="15" width="11" style="214" customWidth="1"/>
    <col min="16" max="16" width="9.83203125" style="214" customWidth="1"/>
    <col min="17" max="17" width="9.5" style="214" customWidth="1"/>
    <col min="18" max="18" width="9.83203125" style="214" customWidth="1"/>
    <col min="19" max="26" width="9" style="214"/>
    <col min="27" max="27" width="9.25" style="214" bestFit="1" customWidth="1"/>
    <col min="28" max="16384" width="9" style="214"/>
  </cols>
  <sheetData>
    <row r="1" spans="2:22" ht="23">
      <c r="B1" s="212"/>
      <c r="C1" s="311" t="s">
        <v>245</v>
      </c>
      <c r="D1" s="212"/>
      <c r="E1" s="212"/>
      <c r="G1" s="212"/>
      <c r="H1" s="212"/>
      <c r="I1" s="212"/>
      <c r="J1" s="212"/>
      <c r="K1" s="212"/>
      <c r="L1" s="212"/>
      <c r="M1" s="212"/>
      <c r="N1" s="212"/>
      <c r="O1" s="212"/>
      <c r="P1" s="212"/>
      <c r="Q1" s="212"/>
      <c r="R1" s="212"/>
      <c r="S1" s="212"/>
      <c r="T1" s="212"/>
      <c r="U1" s="212"/>
      <c r="V1" s="212"/>
    </row>
    <row r="2" spans="2:22" ht="35.25" customHeight="1" thickBot="1">
      <c r="B2" s="212"/>
      <c r="C2" s="212"/>
      <c r="D2" s="312"/>
      <c r="E2" s="212"/>
      <c r="F2" s="212"/>
      <c r="G2" s="212"/>
      <c r="H2" s="212"/>
      <c r="I2" s="212"/>
      <c r="J2" s="212"/>
      <c r="K2" s="212"/>
      <c r="L2" s="212"/>
      <c r="M2" s="212"/>
      <c r="N2" s="212"/>
      <c r="O2" s="212"/>
      <c r="P2" s="212"/>
      <c r="Q2" s="212"/>
      <c r="R2" s="212"/>
      <c r="S2" s="212"/>
      <c r="T2" s="212"/>
      <c r="U2" s="212"/>
      <c r="V2" s="212"/>
    </row>
    <row r="3" spans="2:22" ht="22" customHeight="1">
      <c r="B3" s="313" t="s">
        <v>166</v>
      </c>
      <c r="C3" s="314"/>
      <c r="D3" s="314"/>
      <c r="E3" s="314"/>
      <c r="F3" s="443"/>
      <c r="G3" s="443"/>
      <c r="H3" s="315" t="s">
        <v>54</v>
      </c>
      <c r="I3" s="14"/>
      <c r="J3" s="526" t="s">
        <v>73</v>
      </c>
      <c r="K3" s="527"/>
      <c r="L3" s="527"/>
      <c r="M3" s="528"/>
      <c r="N3" s="321"/>
      <c r="O3" s="526" t="s">
        <v>168</v>
      </c>
      <c r="P3" s="527"/>
      <c r="Q3" s="527"/>
      <c r="R3" s="528"/>
      <c r="S3" s="316"/>
      <c r="T3" s="212"/>
      <c r="U3" s="212"/>
      <c r="V3" s="212"/>
    </row>
    <row r="4" spans="2:22">
      <c r="B4" s="317"/>
      <c r="C4" s="318"/>
      <c r="D4" s="318"/>
      <c r="E4" s="318"/>
      <c r="F4" s="318"/>
      <c r="G4" s="318"/>
      <c r="H4" s="319"/>
      <c r="I4" s="14"/>
      <c r="J4" s="392"/>
      <c r="K4" s="392"/>
      <c r="L4" s="392"/>
      <c r="M4" s="392"/>
      <c r="N4" s="321"/>
      <c r="O4" s="392"/>
      <c r="P4" s="392"/>
      <c r="Q4" s="392"/>
      <c r="R4" s="392"/>
      <c r="S4" s="212"/>
      <c r="T4" s="212"/>
      <c r="U4" s="212"/>
      <c r="V4" s="212"/>
    </row>
    <row r="5" spans="2:22" ht="22" customHeight="1">
      <c r="B5" s="320" t="s">
        <v>252</v>
      </c>
      <c r="C5" s="321"/>
      <c r="D5" s="318"/>
      <c r="E5" s="318"/>
      <c r="F5" s="322"/>
      <c r="G5" s="323">
        <f>((SUM(G43:G47)+G51)*1000+SUM(G48:G50))/Parametri!I28</f>
        <v>209.46321102167028</v>
      </c>
      <c r="H5" s="324" t="s">
        <v>65</v>
      </c>
      <c r="I5" s="14"/>
      <c r="J5" s="526" t="s">
        <v>184</v>
      </c>
      <c r="K5" s="527"/>
      <c r="L5" s="527"/>
      <c r="M5" s="528"/>
      <c r="N5" s="393"/>
      <c r="O5" s="526" t="s">
        <v>182</v>
      </c>
      <c r="P5" s="527"/>
      <c r="Q5" s="527"/>
      <c r="R5" s="528"/>
      <c r="S5" s="212"/>
      <c r="T5" s="212"/>
      <c r="U5" s="212"/>
      <c r="V5" s="212"/>
    </row>
    <row r="6" spans="2:22" ht="20">
      <c r="B6" s="320" t="s">
        <v>253</v>
      </c>
      <c r="C6" s="325"/>
      <c r="D6" s="318"/>
      <c r="E6" s="318"/>
      <c r="F6" s="322"/>
      <c r="G6" s="323">
        <f>(SUM(G54:G64)*1000 +SUM(G65:G76))/Parametri!I28</f>
        <v>209.46321102167022</v>
      </c>
      <c r="H6" s="324" t="s">
        <v>65</v>
      </c>
      <c r="I6" s="14"/>
      <c r="J6" s="392"/>
      <c r="K6" s="392"/>
      <c r="L6" s="392"/>
      <c r="M6" s="392"/>
      <c r="N6" s="321"/>
      <c r="O6" s="392"/>
      <c r="P6" s="392"/>
      <c r="Q6" s="392"/>
      <c r="R6" s="392"/>
      <c r="S6" s="212"/>
      <c r="T6" s="212"/>
      <c r="U6" s="212"/>
      <c r="V6" s="212"/>
    </row>
    <row r="7" spans="2:22" ht="22" customHeight="1">
      <c r="B7" s="317"/>
      <c r="C7" s="318"/>
      <c r="D7" s="318"/>
      <c r="E7" s="318"/>
      <c r="F7" s="318"/>
      <c r="G7" s="318"/>
      <c r="H7" s="319"/>
      <c r="I7" s="14"/>
      <c r="J7" s="526" t="s">
        <v>167</v>
      </c>
      <c r="K7" s="527"/>
      <c r="L7" s="527"/>
      <c r="M7" s="528"/>
      <c r="N7" s="321"/>
      <c r="O7" s="526" t="s">
        <v>185</v>
      </c>
      <c r="P7" s="527"/>
      <c r="Q7" s="527"/>
      <c r="R7" s="528"/>
      <c r="S7" s="139"/>
      <c r="T7" s="212"/>
      <c r="U7" s="212"/>
      <c r="V7" s="212"/>
    </row>
    <row r="8" spans="2:22" ht="21" customHeight="1">
      <c r="B8" s="326" t="str">
        <f>IF(precip_A&gt;0,IF(precip_B&gt;0,"There are "&amp;precip_A&amp;" precipitate salts in the stock A and "&amp;precip_B&amp;" in the stock B","There are "&amp;precip_A&amp;"precipitate salts in the stock A"),IF(precip_B&gt;0,"There are "&amp;precip_B&amp;"precipitate salts in the stock B","NO precipitation in the stock nutrients solution tanks"))</f>
        <v>There are 1precipitate salts in the stock B</v>
      </c>
      <c r="C8" s="326"/>
      <c r="D8" s="326"/>
      <c r="E8" s="327"/>
      <c r="F8" s="327"/>
      <c r="G8" s="327"/>
      <c r="H8" s="328"/>
      <c r="I8" s="304"/>
      <c r="J8" s="304"/>
      <c r="K8" s="304"/>
      <c r="L8" s="304"/>
      <c r="M8" s="304"/>
      <c r="N8" s="304"/>
      <c r="O8" s="304"/>
      <c r="P8" s="304"/>
      <c r="Q8" s="304"/>
      <c r="R8" s="304"/>
      <c r="S8" s="304"/>
      <c r="T8" s="304"/>
      <c r="U8" s="304"/>
      <c r="V8" s="304"/>
    </row>
    <row r="9" spans="2:22" ht="21" customHeight="1">
      <c r="B9" s="320"/>
      <c r="C9" s="318"/>
      <c r="D9" s="318"/>
      <c r="E9" s="318"/>
      <c r="F9" s="318"/>
      <c r="G9" s="318"/>
      <c r="H9" s="319"/>
      <c r="I9" s="304"/>
      <c r="J9" s="304"/>
      <c r="K9" s="304"/>
      <c r="L9" s="304"/>
      <c r="M9" s="304"/>
      <c r="N9" s="304"/>
      <c r="O9" s="304"/>
      <c r="P9" s="304"/>
      <c r="Q9" s="304"/>
      <c r="R9" s="304"/>
      <c r="S9" s="304"/>
      <c r="T9" s="304"/>
      <c r="U9" s="304"/>
      <c r="V9" s="304"/>
    </row>
    <row r="10" spans="2:22" ht="21" customHeight="1">
      <c r="B10" s="317"/>
      <c r="C10" s="329" t="s">
        <v>254</v>
      </c>
      <c r="D10" s="325"/>
      <c r="E10" s="318"/>
      <c r="F10" s="318"/>
      <c r="G10" s="318"/>
      <c r="H10" s="319"/>
      <c r="I10" s="304"/>
      <c r="J10" s="304"/>
      <c r="K10" s="304"/>
      <c r="L10" s="304"/>
      <c r="M10" s="304"/>
      <c r="N10" s="304"/>
      <c r="O10" s="304"/>
      <c r="P10" s="304"/>
      <c r="Q10" s="304"/>
      <c r="R10" s="304"/>
      <c r="S10" s="304"/>
      <c r="T10" s="304"/>
      <c r="U10" s="304"/>
      <c r="V10" s="304"/>
    </row>
    <row r="11" spans="2:22" ht="21" customHeight="1">
      <c r="B11" s="330" t="s">
        <v>50</v>
      </c>
      <c r="C11" s="331">
        <v>200</v>
      </c>
      <c r="D11" s="321"/>
      <c r="E11" s="318"/>
      <c r="F11" s="318"/>
      <c r="G11" s="318"/>
      <c r="H11" s="319"/>
      <c r="I11" s="304"/>
      <c r="J11" s="304"/>
      <c r="K11" s="304"/>
      <c r="L11" s="304"/>
      <c r="M11" s="304"/>
      <c r="N11" s="304"/>
      <c r="O11" s="304"/>
      <c r="P11" s="304"/>
      <c r="Q11" s="304"/>
      <c r="R11" s="304"/>
      <c r="S11" s="304"/>
      <c r="T11" s="304"/>
      <c r="U11" s="304"/>
      <c r="V11" s="304"/>
    </row>
    <row r="12" spans="2:22" ht="21" customHeight="1" thickBot="1">
      <c r="B12" s="332"/>
      <c r="C12" s="333"/>
      <c r="D12" s="333"/>
      <c r="E12" s="333"/>
      <c r="F12" s="333"/>
      <c r="G12" s="333"/>
      <c r="H12" s="334"/>
      <c r="I12" s="304"/>
      <c r="J12" s="304"/>
      <c r="K12" s="304"/>
      <c r="L12" s="304"/>
      <c r="M12" s="304"/>
      <c r="N12" s="304"/>
      <c r="O12" s="304"/>
      <c r="P12" s="304"/>
      <c r="Q12" s="304"/>
      <c r="R12" s="304"/>
      <c r="S12" s="304"/>
      <c r="T12" s="304"/>
      <c r="U12" s="304"/>
      <c r="V12" s="304"/>
    </row>
    <row r="13" spans="2:22" ht="21" customHeight="1">
      <c r="B13" s="335"/>
      <c r="C13" s="318"/>
      <c r="D13" s="318"/>
      <c r="E13" s="318"/>
      <c r="F13" s="318"/>
      <c r="G13" s="318"/>
      <c r="H13" s="318"/>
      <c r="I13" s="304"/>
      <c r="J13" s="304"/>
      <c r="K13" s="304"/>
      <c r="L13" s="304"/>
      <c r="M13" s="304"/>
      <c r="N13" s="304"/>
      <c r="O13" s="304"/>
      <c r="P13" s="304"/>
      <c r="Q13" s="304"/>
      <c r="R13" s="304"/>
      <c r="S13" s="304"/>
      <c r="T13" s="304"/>
      <c r="U13" s="304"/>
      <c r="V13" s="304"/>
    </row>
    <row r="14" spans="2:22" ht="24" customHeight="1">
      <c r="B14" s="336"/>
      <c r="C14" s="530" t="s">
        <v>152</v>
      </c>
      <c r="D14" s="530"/>
      <c r="E14" s="530"/>
      <c r="F14" s="530"/>
      <c r="G14" s="530"/>
      <c r="H14" s="530"/>
      <c r="I14" s="530"/>
      <c r="J14" s="530"/>
      <c r="K14" s="530"/>
      <c r="L14" s="530"/>
      <c r="M14" s="530"/>
      <c r="N14" s="530"/>
      <c r="O14" s="337"/>
      <c r="P14" s="337"/>
      <c r="Q14" s="337"/>
      <c r="R14" s="337"/>
      <c r="S14" s="304"/>
      <c r="T14" s="304"/>
      <c r="U14" s="304"/>
      <c r="V14" s="304"/>
    </row>
    <row r="15" spans="2:22">
      <c r="B15" s="337"/>
      <c r="C15" s="337"/>
      <c r="D15" s="337"/>
      <c r="E15" s="337"/>
      <c r="F15" s="337"/>
      <c r="G15" s="337"/>
      <c r="H15" s="337"/>
      <c r="I15" s="337"/>
      <c r="J15" s="337"/>
      <c r="K15" s="337"/>
      <c r="L15" s="337"/>
      <c r="M15" s="337"/>
      <c r="N15" s="337"/>
      <c r="O15" s="337"/>
      <c r="P15" s="337"/>
      <c r="Q15" s="337"/>
      <c r="R15" s="337"/>
      <c r="S15" s="304"/>
      <c r="T15" s="304"/>
      <c r="U15" s="304"/>
      <c r="V15" s="304"/>
    </row>
    <row r="16" spans="2:22" ht="20">
      <c r="B16" s="536" t="s">
        <v>143</v>
      </c>
      <c r="C16" s="536"/>
      <c r="D16" s="536"/>
      <c r="E16" s="537" t="str">
        <f>Parametri!AI31</f>
        <v>Tomato: Stage: Single</v>
      </c>
      <c r="F16" s="537"/>
      <c r="G16" s="537"/>
      <c r="H16" s="537"/>
      <c r="I16" s="532"/>
      <c r="J16" s="532"/>
      <c r="K16" s="532"/>
      <c r="L16" s="338"/>
      <c r="M16" s="338"/>
      <c r="N16" s="338"/>
      <c r="O16" s="337"/>
      <c r="P16" s="337"/>
      <c r="Q16" s="337"/>
      <c r="R16" s="337"/>
      <c r="S16" s="304"/>
      <c r="T16" s="304"/>
      <c r="U16" s="304"/>
      <c r="V16" s="304"/>
    </row>
    <row r="17" spans="1:22">
      <c r="B17" s="337"/>
      <c r="C17" s="337"/>
      <c r="D17" s="337"/>
      <c r="E17" s="337"/>
      <c r="F17" s="337"/>
      <c r="G17" s="337"/>
      <c r="H17" s="337"/>
      <c r="I17" s="337"/>
      <c r="J17" s="337"/>
      <c r="K17" s="337"/>
      <c r="L17" s="337"/>
      <c r="M17" s="337"/>
      <c r="N17" s="337"/>
      <c r="O17" s="337"/>
      <c r="P17" s="337"/>
      <c r="Q17" s="337"/>
      <c r="R17" s="337"/>
      <c r="S17" s="304"/>
      <c r="T17" s="304"/>
      <c r="U17" s="304"/>
      <c r="V17" s="304"/>
    </row>
    <row r="18" spans="1:22" ht="18">
      <c r="B18" s="532" t="s">
        <v>256</v>
      </c>
      <c r="C18" s="532"/>
      <c r="D18" s="532"/>
      <c r="E18" s="532"/>
      <c r="F18" s="339">
        <f>Parametri!I28</f>
        <v>100</v>
      </c>
      <c r="G18" s="337"/>
      <c r="H18" s="337"/>
      <c r="I18" s="533" t="s">
        <v>353</v>
      </c>
      <c r="J18" s="533"/>
      <c r="K18" s="533"/>
      <c r="L18" s="533"/>
      <c r="M18" s="337"/>
      <c r="N18" s="337"/>
      <c r="O18" s="337"/>
      <c r="P18" s="337"/>
      <c r="Q18" s="337"/>
      <c r="R18" s="337"/>
      <c r="S18" s="304"/>
      <c r="T18" s="304"/>
      <c r="U18" s="304"/>
      <c r="V18" s="304"/>
    </row>
    <row r="19" spans="1:22" ht="18">
      <c r="B19" s="532" t="s">
        <v>257</v>
      </c>
      <c r="C19" s="532"/>
      <c r="D19" s="532"/>
      <c r="E19" s="341" t="s">
        <v>50</v>
      </c>
      <c r="F19" s="339">
        <f>Parametri!I27</f>
        <v>200</v>
      </c>
      <c r="G19" s="337"/>
      <c r="H19" s="337"/>
      <c r="I19" s="529" t="s">
        <v>2</v>
      </c>
      <c r="J19" s="529"/>
      <c r="K19" s="342">
        <f>((D37+E37))/(G37)</f>
        <v>1.8752203631640063</v>
      </c>
      <c r="L19" s="337"/>
      <c r="M19" s="337"/>
      <c r="N19" s="337"/>
      <c r="O19" s="337"/>
      <c r="P19" s="337"/>
      <c r="Q19" s="337"/>
      <c r="R19" s="337"/>
      <c r="S19" s="304"/>
      <c r="T19" s="304"/>
      <c r="U19" s="304"/>
      <c r="V19" s="304"/>
    </row>
    <row r="20" spans="1:22" ht="20">
      <c r="B20" s="532" t="s">
        <v>145</v>
      </c>
      <c r="C20" s="532"/>
      <c r="D20" s="532"/>
      <c r="E20" s="343"/>
      <c r="F20" s="339">
        <f>Parametri!B42</f>
        <v>5.7</v>
      </c>
      <c r="G20" s="337"/>
      <c r="H20" s="337"/>
      <c r="I20" s="344" t="s">
        <v>246</v>
      </c>
      <c r="J20" s="337"/>
      <c r="K20" s="342">
        <f>E37/D37</f>
        <v>7.1554493236574992E-2</v>
      </c>
      <c r="L20" s="337"/>
      <c r="M20" s="337"/>
      <c r="N20" s="337"/>
      <c r="O20" s="337"/>
      <c r="P20" s="337"/>
      <c r="Q20" s="337"/>
      <c r="R20" s="337"/>
      <c r="S20" s="304"/>
      <c r="T20" s="304"/>
      <c r="U20" s="304"/>
      <c r="V20" s="304"/>
    </row>
    <row r="21" spans="1:22" ht="18">
      <c r="B21" s="532" t="s">
        <v>146</v>
      </c>
      <c r="C21" s="532"/>
      <c r="D21" s="532"/>
      <c r="E21" s="343"/>
      <c r="F21" s="345">
        <f>Parametri!I42</f>
        <v>2.09</v>
      </c>
      <c r="G21" s="339"/>
      <c r="H21" s="337"/>
      <c r="I21" s="344" t="s">
        <v>3</v>
      </c>
      <c r="J21" s="346">
        <f>(G37)/($G$37+$H$37*2+$I$37*2)</f>
        <v>0.42105263157894735</v>
      </c>
      <c r="K21" s="347">
        <f>(H37*2)/($G$37+$H$37*2+$I$37*2)</f>
        <v>0.42105263157894735</v>
      </c>
      <c r="L21" s="348">
        <f>(I37*2)/($G$37+$H$37*2+$I$37*2)</f>
        <v>0.15789473684210525</v>
      </c>
      <c r="M21" s="337"/>
      <c r="N21" s="337"/>
      <c r="O21" s="337"/>
      <c r="P21" s="337"/>
      <c r="Q21" s="337"/>
      <c r="R21" s="337"/>
      <c r="S21" s="304"/>
      <c r="T21" s="304"/>
      <c r="U21" s="304"/>
      <c r="V21" s="304"/>
    </row>
    <row r="22" spans="1:22" ht="18">
      <c r="B22" s="538" t="s">
        <v>147</v>
      </c>
      <c r="C22" s="538"/>
      <c r="D22" s="538"/>
      <c r="E22" s="343"/>
      <c r="F22" s="349">
        <f>B37</f>
        <v>2.0911232365316104</v>
      </c>
      <c r="G22" s="344"/>
      <c r="H22" s="337"/>
      <c r="I22" s="337"/>
      <c r="J22" s="337"/>
      <c r="K22" s="337"/>
      <c r="L22" s="337"/>
      <c r="M22" s="337"/>
      <c r="N22" s="337"/>
      <c r="O22" s="337"/>
      <c r="P22" s="337"/>
      <c r="Q22" s="337"/>
      <c r="R22" s="337"/>
      <c r="S22" s="304"/>
      <c r="T22" s="304"/>
      <c r="U22" s="304"/>
      <c r="V22" s="304"/>
    </row>
    <row r="23" spans="1:22" s="325" customFormat="1" ht="18.5" thickBot="1">
      <c r="A23" s="321"/>
      <c r="B23" s="350"/>
      <c r="C23" s="322"/>
      <c r="D23" s="322"/>
      <c r="E23" s="351"/>
      <c r="F23" s="350"/>
      <c r="G23" s="322"/>
      <c r="H23" s="322"/>
      <c r="I23" s="322"/>
      <c r="J23" s="322"/>
      <c r="K23" s="322"/>
      <c r="L23" s="322"/>
      <c r="M23" s="322"/>
      <c r="N23" s="322"/>
      <c r="O23" s="322"/>
      <c r="P23" s="322"/>
      <c r="Q23" s="322"/>
      <c r="R23" s="322"/>
      <c r="S23" s="318"/>
      <c r="T23" s="318"/>
      <c r="U23" s="318"/>
      <c r="V23" s="318"/>
    </row>
    <row r="24" spans="1:22" s="325" customFormat="1" ht="18">
      <c r="A24" s="321"/>
      <c r="B24" s="352" t="s">
        <v>148</v>
      </c>
      <c r="C24" s="353" t="s">
        <v>54</v>
      </c>
      <c r="D24" s="539" t="s">
        <v>258</v>
      </c>
      <c r="E24" s="539"/>
      <c r="F24" s="539"/>
      <c r="G24" s="539"/>
      <c r="H24" s="539"/>
      <c r="I24" s="539"/>
      <c r="J24" s="539"/>
      <c r="K24" s="355"/>
      <c r="L24" s="355"/>
      <c r="M24" s="355"/>
      <c r="N24" s="355"/>
      <c r="O24" s="355"/>
      <c r="P24" s="355"/>
      <c r="Q24" s="355"/>
      <c r="R24" s="356"/>
      <c r="S24" s="318"/>
      <c r="T24" s="318"/>
      <c r="U24" s="318"/>
      <c r="V24" s="318"/>
    </row>
    <row r="25" spans="1:22" s="325" customFormat="1" ht="22">
      <c r="A25" s="321"/>
      <c r="B25" s="357" t="s">
        <v>19</v>
      </c>
      <c r="C25" s="358" t="s">
        <v>247</v>
      </c>
      <c r="D25" s="358" t="s">
        <v>248</v>
      </c>
      <c r="E25" s="358" t="s">
        <v>249</v>
      </c>
      <c r="F25" s="358" t="s">
        <v>6</v>
      </c>
      <c r="G25" s="358" t="s">
        <v>7</v>
      </c>
      <c r="H25" s="358" t="s">
        <v>8</v>
      </c>
      <c r="I25" s="358" t="s">
        <v>9</v>
      </c>
      <c r="J25" s="358" t="s">
        <v>10</v>
      </c>
      <c r="K25" s="358" t="s">
        <v>250</v>
      </c>
      <c r="L25" s="358" t="s">
        <v>12</v>
      </c>
      <c r="M25" s="358" t="s">
        <v>13</v>
      </c>
      <c r="N25" s="358" t="s">
        <v>14</v>
      </c>
      <c r="O25" s="358" t="s">
        <v>15</v>
      </c>
      <c r="P25" s="358" t="s">
        <v>16</v>
      </c>
      <c r="Q25" s="358" t="s">
        <v>17</v>
      </c>
      <c r="R25" s="359" t="s">
        <v>18</v>
      </c>
      <c r="S25" s="318"/>
      <c r="T25" s="318"/>
      <c r="U25" s="318"/>
      <c r="V25" s="318"/>
    </row>
    <row r="26" spans="1:22" ht="18">
      <c r="B26" s="360">
        <f>Parametri!B18</f>
        <v>0</v>
      </c>
      <c r="C26" s="361">
        <f>Parametri!C18</f>
        <v>0</v>
      </c>
      <c r="D26" s="361">
        <f>Parametri!D18</f>
        <v>0</v>
      </c>
      <c r="E26" s="361">
        <f>Parametri!E18</f>
        <v>0</v>
      </c>
      <c r="F26" s="361">
        <f>Parametri!F18</f>
        <v>0</v>
      </c>
      <c r="G26" s="361">
        <f>Parametri!G18</f>
        <v>0</v>
      </c>
      <c r="H26" s="361">
        <f>Parametri!H18</f>
        <v>0</v>
      </c>
      <c r="I26" s="361">
        <f>Parametri!I18</f>
        <v>0</v>
      </c>
      <c r="J26" s="361">
        <f>Parametri!J18</f>
        <v>0</v>
      </c>
      <c r="K26" s="361">
        <f>Parametri!K18</f>
        <v>0</v>
      </c>
      <c r="L26" s="361">
        <f>Parametri!L18</f>
        <v>0</v>
      </c>
      <c r="M26" s="362">
        <f>Parametri!M18</f>
        <v>0</v>
      </c>
      <c r="N26" s="362">
        <f>Parametri!N18</f>
        <v>0</v>
      </c>
      <c r="O26" s="362">
        <f>Parametri!O18</f>
        <v>0</v>
      </c>
      <c r="P26" s="362">
        <f>Parametri!P18</f>
        <v>0</v>
      </c>
      <c r="Q26" s="362">
        <f>Parametri!Q18</f>
        <v>0</v>
      </c>
      <c r="R26" s="363">
        <f>Parametri!R18</f>
        <v>0</v>
      </c>
      <c r="S26" s="304"/>
      <c r="T26" s="304"/>
      <c r="U26" s="304"/>
      <c r="V26" s="304"/>
    </row>
    <row r="27" spans="1:22" ht="18" thickBot="1">
      <c r="B27" s="364" t="s">
        <v>70</v>
      </c>
      <c r="C27" s="365">
        <f>C26*61</f>
        <v>0</v>
      </c>
      <c r="D27" s="365">
        <f>D26*14.007</f>
        <v>0</v>
      </c>
      <c r="E27" s="365">
        <f>E26*14.007</f>
        <v>0</v>
      </c>
      <c r="F27" s="365">
        <f>F26*30.97</f>
        <v>0</v>
      </c>
      <c r="G27" s="365">
        <f>G26*39.1</f>
        <v>0</v>
      </c>
      <c r="H27" s="365">
        <f>H26*40.08</f>
        <v>0</v>
      </c>
      <c r="I27" s="365">
        <f>I26*24.31</f>
        <v>0</v>
      </c>
      <c r="J27" s="365">
        <f>J26*22.9898</f>
        <v>0</v>
      </c>
      <c r="K27" s="365">
        <f>K26*32</f>
        <v>0</v>
      </c>
      <c r="L27" s="365">
        <f>L26*35.47</f>
        <v>0</v>
      </c>
      <c r="M27" s="366">
        <f>M26*55.85/1000</f>
        <v>0</v>
      </c>
      <c r="N27" s="366">
        <f>N26*10.8/1000</f>
        <v>0</v>
      </c>
      <c r="O27" s="366">
        <f>O26*63.55/1000</f>
        <v>0</v>
      </c>
      <c r="P27" s="366">
        <f>P26*65.38/1000</f>
        <v>0</v>
      </c>
      <c r="Q27" s="366">
        <f>Q26*54.94/1000</f>
        <v>0</v>
      </c>
      <c r="R27" s="366">
        <f>R26*95.95/1000</f>
        <v>0</v>
      </c>
      <c r="S27" s="304"/>
      <c r="T27" s="304"/>
      <c r="U27" s="304"/>
      <c r="V27" s="304"/>
    </row>
    <row r="28" spans="1:22" ht="18.5" thickBot="1">
      <c r="B28" s="367" t="str">
        <f>IF(B26&lt;1.001,"OK","HIGH")</f>
        <v>OK</v>
      </c>
      <c r="C28" s="368" t="str">
        <f>IF(C27&lt;300.01,"OK","HIGH")</f>
        <v>OK</v>
      </c>
      <c r="D28" s="368" t="str">
        <f>IF(D27&lt;50.01,"OK","HIGH")</f>
        <v>OK</v>
      </c>
      <c r="E28" s="368" t="str">
        <f>IF(E27&lt;14.01,"OK","HIGH")</f>
        <v>OK</v>
      </c>
      <c r="F28" s="368" t="str">
        <f>IF(F27&lt;30.01,"OK","HIGH")</f>
        <v>OK</v>
      </c>
      <c r="G28" s="368" t="str">
        <f>IF(G27&lt;100.01,"OK","HIGH")</f>
        <v>OK</v>
      </c>
      <c r="H28" s="368" t="str">
        <f>IF(H27&lt;160.01,"OK","HIGH")</f>
        <v>OK</v>
      </c>
      <c r="I28" s="368" t="str">
        <f>IF(I27&lt;25.01,"OK","HIGH")</f>
        <v>OK</v>
      </c>
      <c r="J28" s="368" t="str">
        <f>IF(J27&lt;70.01,"OK","HIGH")</f>
        <v>OK</v>
      </c>
      <c r="K28" s="368" t="str">
        <f>IF(K27&lt;90.01,"OK","HIGH")</f>
        <v>OK</v>
      </c>
      <c r="L28" s="368" t="str">
        <f>IF(L27&lt;105.01,"OK","HIGH")</f>
        <v>OK</v>
      </c>
      <c r="M28" s="368" t="str">
        <f>IF(M27&gt;5,"HIGH","OK")</f>
        <v>OK</v>
      </c>
      <c r="N28" s="368" t="str">
        <f>IF(N27&lt;0.751,"OK","HIGH")</f>
        <v>OK</v>
      </c>
      <c r="O28" s="368" t="str">
        <f>IF(O27&gt;1,"HIGH","OK")</f>
        <v>OK</v>
      </c>
      <c r="P28" s="368" t="str">
        <f>IF(P27&gt;2,"HIGH","OK")</f>
        <v>OK</v>
      </c>
      <c r="Q28" s="368" t="str">
        <f>IF(Q27&gt;0.5,"HIGH","OK")</f>
        <v>OK</v>
      </c>
      <c r="R28" s="369" t="str">
        <f>IF(R27&gt;0.2,"HIGH","OK")</f>
        <v>OK</v>
      </c>
      <c r="S28" s="304"/>
      <c r="T28" s="304"/>
      <c r="U28" s="304"/>
      <c r="V28" s="304"/>
    </row>
    <row r="29" spans="1:22" ht="18.5" thickBot="1">
      <c r="B29" s="344"/>
      <c r="C29" s="340"/>
      <c r="D29" s="340"/>
      <c r="E29" s="340"/>
      <c r="F29" s="340"/>
      <c r="G29" s="340"/>
      <c r="H29" s="340"/>
      <c r="I29" s="340"/>
      <c r="J29" s="340"/>
      <c r="K29" s="340"/>
      <c r="L29" s="340"/>
      <c r="M29" s="340"/>
      <c r="N29" s="340"/>
      <c r="O29" s="340"/>
      <c r="P29" s="340"/>
      <c r="Q29" s="340"/>
      <c r="R29" s="340"/>
      <c r="S29" s="304"/>
      <c r="T29" s="304"/>
      <c r="U29" s="304"/>
      <c r="V29" s="304"/>
    </row>
    <row r="30" spans="1:22" ht="18">
      <c r="B30" s="541" t="s">
        <v>259</v>
      </c>
      <c r="C30" s="542"/>
      <c r="D30" s="542"/>
      <c r="E30" s="542"/>
      <c r="F30" s="542"/>
      <c r="G30" s="542"/>
      <c r="H30" s="542"/>
      <c r="I30" s="542"/>
      <c r="J30" s="542"/>
      <c r="K30" s="354"/>
      <c r="L30" s="354"/>
      <c r="M30" s="354"/>
      <c r="N30" s="354"/>
      <c r="O30" s="354"/>
      <c r="P30" s="354"/>
      <c r="Q30" s="354"/>
      <c r="R30" s="370"/>
      <c r="S30" s="304"/>
      <c r="T30" s="304"/>
      <c r="U30" s="304"/>
      <c r="V30" s="304"/>
    </row>
    <row r="31" spans="1:22" ht="20">
      <c r="B31" s="371" t="s">
        <v>19</v>
      </c>
      <c r="C31" s="372"/>
      <c r="D31" s="358" t="s">
        <v>248</v>
      </c>
      <c r="E31" s="358" t="s">
        <v>249</v>
      </c>
      <c r="F31" s="358" t="s">
        <v>6</v>
      </c>
      <c r="G31" s="358" t="s">
        <v>7</v>
      </c>
      <c r="H31" s="358" t="s">
        <v>8</v>
      </c>
      <c r="I31" s="358" t="s">
        <v>9</v>
      </c>
      <c r="J31" s="358" t="s">
        <v>10</v>
      </c>
      <c r="K31" s="358" t="s">
        <v>250</v>
      </c>
      <c r="L31" s="358" t="s">
        <v>12</v>
      </c>
      <c r="M31" s="358" t="s">
        <v>13</v>
      </c>
      <c r="N31" s="358" t="s">
        <v>14</v>
      </c>
      <c r="O31" s="358" t="s">
        <v>15</v>
      </c>
      <c r="P31" s="358" t="s">
        <v>16</v>
      </c>
      <c r="Q31" s="358" t="s">
        <v>17</v>
      </c>
      <c r="R31" s="359" t="s">
        <v>18</v>
      </c>
      <c r="S31" s="304"/>
      <c r="T31" s="304"/>
      <c r="U31" s="304"/>
      <c r="V31" s="304"/>
    </row>
    <row r="32" spans="1:22" ht="19">
      <c r="B32" s="373">
        <f>Parametri!B36</f>
        <v>2.09</v>
      </c>
      <c r="C32" s="374" t="s">
        <v>251</v>
      </c>
      <c r="D32" s="374">
        <f>Parametri!C36</f>
        <v>14</v>
      </c>
      <c r="E32" s="374">
        <f>Parametri!D36</f>
        <v>1</v>
      </c>
      <c r="F32" s="374">
        <f>Parametri!E36</f>
        <v>1</v>
      </c>
      <c r="G32" s="374">
        <f>Parametri!F36</f>
        <v>8</v>
      </c>
      <c r="H32" s="374">
        <f>Parametri!G36</f>
        <v>4</v>
      </c>
      <c r="I32" s="374">
        <f>Parametri!H36</f>
        <v>1.5</v>
      </c>
      <c r="J32" s="374">
        <f>Parametri!I36</f>
        <v>0</v>
      </c>
      <c r="K32" s="374">
        <f>Parametri!J36</f>
        <v>2.5</v>
      </c>
      <c r="L32" s="374">
        <f>Parametri!K36</f>
        <v>0</v>
      </c>
      <c r="M32" s="375">
        <f>Parametri!L36</f>
        <v>15</v>
      </c>
      <c r="N32" s="375">
        <f>Parametri!M36</f>
        <v>20</v>
      </c>
      <c r="O32" s="375">
        <f>Parametri!N36</f>
        <v>1</v>
      </c>
      <c r="P32" s="375">
        <f>Parametri!O36</f>
        <v>5</v>
      </c>
      <c r="Q32" s="375">
        <f>Parametri!P36</f>
        <v>10</v>
      </c>
      <c r="R32" s="376">
        <f>Parametri!Q36</f>
        <v>1</v>
      </c>
      <c r="S32" s="304"/>
      <c r="T32" s="304"/>
      <c r="U32" s="304"/>
      <c r="V32" s="304"/>
    </row>
    <row r="33" spans="2:28" ht="18" thickBot="1">
      <c r="B33" s="364"/>
      <c r="C33" s="377" t="s">
        <v>70</v>
      </c>
      <c r="D33" s="378">
        <f>D32*14.007</f>
        <v>196.09799999999998</v>
      </c>
      <c r="E33" s="378">
        <f>E32*14.007</f>
        <v>14.007</v>
      </c>
      <c r="F33" s="378">
        <f>F32*30.97</f>
        <v>30.97</v>
      </c>
      <c r="G33" s="378">
        <f>G32*39.1</f>
        <v>312.8</v>
      </c>
      <c r="H33" s="378">
        <f>H32*40.08</f>
        <v>160.32</v>
      </c>
      <c r="I33" s="378">
        <f>I32*24.31</f>
        <v>36.464999999999996</v>
      </c>
      <c r="J33" s="378">
        <f>J32*22.9898</f>
        <v>0</v>
      </c>
      <c r="K33" s="378">
        <f>K32*32</f>
        <v>80</v>
      </c>
      <c r="L33" s="378">
        <f>L32*35.47</f>
        <v>0</v>
      </c>
      <c r="M33" s="366">
        <f>M32*55.85/1000</f>
        <v>0.83774999999999999</v>
      </c>
      <c r="N33" s="366">
        <f>N32*10.8/1000</f>
        <v>0.216</v>
      </c>
      <c r="O33" s="366">
        <f>O32*63.55/1000</f>
        <v>6.3549999999999995E-2</v>
      </c>
      <c r="P33" s="366">
        <f>P32*65.38/1000</f>
        <v>0.32689999999999997</v>
      </c>
      <c r="Q33" s="366">
        <f>Q32*54.94/1000</f>
        <v>0.5494</v>
      </c>
      <c r="R33" s="379">
        <f>R32*95.95/1000</f>
        <v>9.5950000000000008E-2</v>
      </c>
      <c r="S33" s="304"/>
      <c r="T33" s="304"/>
      <c r="U33" s="304"/>
      <c r="V33" s="304"/>
    </row>
    <row r="34" spans="2:28" ht="18.5" thickBot="1">
      <c r="B34" s="358"/>
      <c r="C34" s="358"/>
      <c r="D34" s="358"/>
      <c r="E34" s="358"/>
      <c r="F34" s="358"/>
      <c r="G34" s="358"/>
      <c r="H34" s="358"/>
      <c r="I34" s="358"/>
      <c r="J34" s="358"/>
      <c r="K34" s="358"/>
      <c r="L34" s="358"/>
      <c r="M34" s="358"/>
      <c r="N34" s="358"/>
      <c r="O34" s="358"/>
      <c r="P34" s="358"/>
      <c r="Q34" s="358"/>
      <c r="R34" s="358"/>
      <c r="S34" s="304"/>
      <c r="T34" s="304"/>
      <c r="U34" s="304"/>
      <c r="V34" s="304"/>
    </row>
    <row r="35" spans="2:28" ht="18">
      <c r="B35" s="541" t="s">
        <v>260</v>
      </c>
      <c r="C35" s="542"/>
      <c r="D35" s="542"/>
      <c r="E35" s="542"/>
      <c r="F35" s="542"/>
      <c r="G35" s="542"/>
      <c r="H35" s="542"/>
      <c r="I35" s="542"/>
      <c r="J35" s="542"/>
      <c r="K35" s="354"/>
      <c r="L35" s="354"/>
      <c r="M35" s="354"/>
      <c r="N35" s="354"/>
      <c r="O35" s="354"/>
      <c r="P35" s="354"/>
      <c r="Q35" s="354"/>
      <c r="R35" s="370"/>
      <c r="S35" s="304"/>
      <c r="T35" s="304"/>
      <c r="U35" s="304"/>
      <c r="V35" s="304"/>
    </row>
    <row r="36" spans="2:28" ht="20">
      <c r="B36" s="380" t="s">
        <v>19</v>
      </c>
      <c r="C36" s="372"/>
      <c r="D36" s="358" t="s">
        <v>248</v>
      </c>
      <c r="E36" s="358" t="s">
        <v>249</v>
      </c>
      <c r="F36" s="358" t="s">
        <v>6</v>
      </c>
      <c r="G36" s="358" t="s">
        <v>7</v>
      </c>
      <c r="H36" s="358" t="s">
        <v>8</v>
      </c>
      <c r="I36" s="358" t="s">
        <v>9</v>
      </c>
      <c r="J36" s="358" t="s">
        <v>10</v>
      </c>
      <c r="K36" s="358" t="s">
        <v>250</v>
      </c>
      <c r="L36" s="358" t="s">
        <v>12</v>
      </c>
      <c r="M36" s="358" t="s">
        <v>13</v>
      </c>
      <c r="N36" s="358" t="s">
        <v>14</v>
      </c>
      <c r="O36" s="358" t="s">
        <v>15</v>
      </c>
      <c r="P36" s="358" t="s">
        <v>16</v>
      </c>
      <c r="Q36" s="358" t="s">
        <v>17</v>
      </c>
      <c r="R36" s="359" t="s">
        <v>18</v>
      </c>
      <c r="S36" s="381"/>
      <c r="T36" s="304"/>
      <c r="U36" s="304"/>
      <c r="V36" s="304"/>
    </row>
    <row r="37" spans="2:28" ht="19">
      <c r="B37" s="382">
        <f>IF((E37+G37+H37*2+I37*2+J37)=0,0,(E37+G37+H37*2+I37*2+J37)*0.095+ 0.19)</f>
        <v>2.0911232365316104</v>
      </c>
      <c r="C37" s="374" t="s">
        <v>251</v>
      </c>
      <c r="D37" s="374">
        <f>Calcolo!G12</f>
        <v>14</v>
      </c>
      <c r="E37" s="374">
        <f>Calcolo!H12</f>
        <v>1.0017629053120498</v>
      </c>
      <c r="F37" s="374">
        <f>Calcolo!I12</f>
        <v>1</v>
      </c>
      <c r="G37" s="374">
        <f>Calcolo!J12</f>
        <v>8</v>
      </c>
      <c r="H37" s="374">
        <f>Calcolo!K12</f>
        <v>4</v>
      </c>
      <c r="I37" s="374">
        <f>Calcolo!L12</f>
        <v>1.5</v>
      </c>
      <c r="J37" s="374">
        <f>Calcolo!M12</f>
        <v>1.0060637125952818E-2</v>
      </c>
      <c r="K37" s="374">
        <f>Calcolo!N12</f>
        <v>2.5163461623522059</v>
      </c>
      <c r="L37" s="374">
        <f>Calcolo!O12</f>
        <v>0</v>
      </c>
      <c r="M37" s="375">
        <f>Calcolo!P12</f>
        <v>15.000000000000002</v>
      </c>
      <c r="N37" s="375">
        <f>Calcolo!Q12</f>
        <v>20</v>
      </c>
      <c r="O37" s="375">
        <f>Calcolo!R12</f>
        <v>1</v>
      </c>
      <c r="P37" s="375">
        <f>Calcolo!S12</f>
        <v>5</v>
      </c>
      <c r="Q37" s="375">
        <f>Calcolo!T12</f>
        <v>10</v>
      </c>
      <c r="R37" s="376">
        <f>Calcolo!U12</f>
        <v>1</v>
      </c>
      <c r="S37" s="304"/>
      <c r="T37" s="304"/>
      <c r="U37" s="304"/>
      <c r="V37" s="304"/>
    </row>
    <row r="38" spans="2:28" ht="18" thickBot="1">
      <c r="B38" s="364"/>
      <c r="C38" s="377" t="s">
        <v>70</v>
      </c>
      <c r="D38" s="378">
        <f>D37*14.007</f>
        <v>196.09799999999998</v>
      </c>
      <c r="E38" s="378">
        <f>E37*14.007</f>
        <v>14.031693014705882</v>
      </c>
      <c r="F38" s="378">
        <f>F37*30.97</f>
        <v>30.97</v>
      </c>
      <c r="G38" s="378">
        <f>G37*39.1</f>
        <v>312.8</v>
      </c>
      <c r="H38" s="378">
        <f>H37*40.08</f>
        <v>160.32</v>
      </c>
      <c r="I38" s="378">
        <f>I37*24.31</f>
        <v>36.464999999999996</v>
      </c>
      <c r="J38" s="378">
        <f>J37*22.9898</f>
        <v>0.23129203539823009</v>
      </c>
      <c r="K38" s="378">
        <f>K37*32</f>
        <v>80.523077195270588</v>
      </c>
      <c r="L38" s="378">
        <f>L37*35.47</f>
        <v>0</v>
      </c>
      <c r="M38" s="366">
        <f>M37*55.85/1000</f>
        <v>0.83775000000000011</v>
      </c>
      <c r="N38" s="366">
        <f>N37*10.8/1000</f>
        <v>0.216</v>
      </c>
      <c r="O38" s="366">
        <f>O37*63.55/1000</f>
        <v>6.3549999999999995E-2</v>
      </c>
      <c r="P38" s="366">
        <f>P37*65.38/1000</f>
        <v>0.32689999999999997</v>
      </c>
      <c r="Q38" s="366">
        <f>Q37*54.94/1000</f>
        <v>0.5494</v>
      </c>
      <c r="R38" s="379">
        <f>R37*95.95/1000</f>
        <v>9.5950000000000008E-2</v>
      </c>
      <c r="S38" s="304"/>
      <c r="T38" s="304"/>
      <c r="U38" s="304"/>
      <c r="V38" s="304"/>
    </row>
    <row r="39" spans="2:28">
      <c r="B39" s="383"/>
      <c r="C39" s="383"/>
      <c r="D39" s="383"/>
      <c r="E39" s="383"/>
      <c r="F39" s="383"/>
      <c r="G39" s="383"/>
      <c r="H39" s="383"/>
      <c r="I39" s="383"/>
      <c r="J39" s="383"/>
      <c r="K39" s="384"/>
      <c r="L39" s="384"/>
      <c r="M39" s="384"/>
      <c r="N39" s="384"/>
      <c r="O39" s="384"/>
      <c r="P39" s="384"/>
      <c r="Q39" s="337"/>
      <c r="R39" s="337"/>
      <c r="S39" s="304"/>
      <c r="T39" s="304"/>
      <c r="U39" s="304"/>
      <c r="V39" s="304"/>
    </row>
    <row r="40" spans="2:28" ht="24" customHeight="1">
      <c r="B40" s="530" t="s">
        <v>149</v>
      </c>
      <c r="C40" s="530"/>
      <c r="D40" s="530"/>
      <c r="E40" s="530"/>
      <c r="F40" s="530"/>
      <c r="G40" s="530"/>
      <c r="H40" s="530"/>
      <c r="I40" s="530"/>
      <c r="J40" s="530"/>
      <c r="K40" s="530"/>
      <c r="L40" s="530"/>
      <c r="M40" s="530"/>
      <c r="N40" s="530"/>
      <c r="O40" s="530"/>
      <c r="P40" s="530"/>
      <c r="Q40" s="530"/>
      <c r="R40" s="530"/>
      <c r="S40" s="304"/>
      <c r="T40" s="304"/>
      <c r="U40" s="304"/>
      <c r="V40" s="304"/>
    </row>
    <row r="41" spans="2:28">
      <c r="B41" s="337"/>
      <c r="C41" s="337"/>
      <c r="D41" s="337"/>
      <c r="E41" s="337"/>
      <c r="F41" s="337"/>
      <c r="G41" s="337"/>
      <c r="H41" s="337"/>
      <c r="I41" s="337"/>
      <c r="J41" s="322"/>
      <c r="K41" s="385"/>
      <c r="L41" s="385"/>
      <c r="M41" s="385"/>
      <c r="N41" s="385"/>
      <c r="O41" s="385"/>
      <c r="P41" s="385"/>
      <c r="Q41" s="385"/>
      <c r="R41" s="337"/>
      <c r="S41" s="304"/>
      <c r="T41" s="304"/>
      <c r="U41" s="304"/>
      <c r="V41" s="304"/>
      <c r="X41" s="214" t="s">
        <v>51</v>
      </c>
      <c r="Z41" s="214" t="s">
        <v>67</v>
      </c>
      <c r="AA41" s="386">
        <f>(SUM(Calcolo!F29:F31)+Calcolo!F34+SUM(Calcolo!F53:F55)+Calcolo!F71)</f>
        <v>885.09808630546559</v>
      </c>
      <c r="AB41" s="214" t="s">
        <v>69</v>
      </c>
    </row>
    <row r="42" spans="2:28" ht="20">
      <c r="B42" s="530" t="s">
        <v>150</v>
      </c>
      <c r="C42" s="530"/>
      <c r="D42" s="530"/>
      <c r="E42" s="530"/>
      <c r="F42" s="337"/>
      <c r="G42" s="337"/>
      <c r="H42" s="337"/>
      <c r="I42" s="337"/>
      <c r="J42" s="534"/>
      <c r="K42" s="534"/>
      <c r="L42" s="534"/>
      <c r="M42" s="534"/>
      <c r="N42" s="322"/>
      <c r="O42" s="322"/>
      <c r="P42" s="322"/>
      <c r="Q42" s="322"/>
      <c r="R42" s="337"/>
      <c r="S42" s="304"/>
      <c r="T42" s="304"/>
      <c r="U42" s="304"/>
      <c r="V42" s="304"/>
      <c r="X42" s="214" t="s">
        <v>154</v>
      </c>
      <c r="Z42" s="214" t="s">
        <v>68</v>
      </c>
      <c r="AA42" s="386">
        <f>(SUM(Calcolo!F24:F26)+Calcolo!F35+Calcolo!F36+Calcolo!F39+Calcolo!F42+Calcolo!F43+Calcolo!F49+Calcolo!F50+SUM(Calcolo!F58:F69))</f>
        <v>702.43901022926707</v>
      </c>
      <c r="AB42" s="214" t="s">
        <v>69</v>
      </c>
    </row>
    <row r="43" spans="2:28" ht="18">
      <c r="B43" s="535" t="str">
        <f>IF(Calcolo!F29&gt;0,Calcolo!B29,0)</f>
        <v xml:space="preserve">Calcium nitrate </v>
      </c>
      <c r="C43" s="535"/>
      <c r="D43" s="535"/>
      <c r="E43" s="535"/>
      <c r="F43" s="535"/>
      <c r="G43" s="387">
        <f>IF(Calcolo!F29&gt;0,Calcolo!F29*Parametri!$I$27*Parametri!$I$28/1000000,0)</f>
        <v>17.247982786444325</v>
      </c>
      <c r="H43" s="387" t="str">
        <f>IF(Calcolo!F29&gt;0,$X$41,0)</f>
        <v>Kg</v>
      </c>
      <c r="I43" s="337"/>
      <c r="J43" s="337"/>
      <c r="K43" s="337"/>
      <c r="L43" s="337"/>
      <c r="M43" s="337"/>
      <c r="N43" s="337"/>
      <c r="O43" s="337"/>
      <c r="P43" s="337"/>
      <c r="Q43" s="337"/>
      <c r="R43" s="337"/>
      <c r="S43" s="304"/>
      <c r="T43" s="304"/>
      <c r="U43" s="304"/>
      <c r="V43" s="304"/>
      <c r="X43" s="214" t="s">
        <v>155</v>
      </c>
    </row>
    <row r="44" spans="2:28" ht="18">
      <c r="B44" s="531">
        <f>IF(Calcolo!F30&gt;0,Calcolo!B29,0)</f>
        <v>0</v>
      </c>
      <c r="C44" s="531"/>
      <c r="D44" s="531"/>
      <c r="E44" s="531"/>
      <c r="F44" s="531"/>
      <c r="G44" s="388">
        <f>IF(Calcolo!F30&gt;0,Calcolo!F30*Parametri!$I$27*Parametri!$I$28/1000000,0)</f>
        <v>0</v>
      </c>
      <c r="H44" s="388">
        <f>IF(Calcolo!F30&gt;0,$X$41,0)</f>
        <v>0</v>
      </c>
      <c r="I44" s="337"/>
      <c r="J44" s="535">
        <f>IF(Calcolo!F17&gt;0,Calcolo!B17,0)</f>
        <v>0</v>
      </c>
      <c r="K44" s="535"/>
      <c r="L44" s="535"/>
      <c r="M44" s="535"/>
      <c r="N44" s="535"/>
      <c r="O44" s="387">
        <f>IF(Calcolo!F17&gt;0,Calcolo!F17*Parametri!$I$27*Parametri!$I$28/1000,0)</f>
        <v>0</v>
      </c>
      <c r="P44" s="387">
        <f>IF(Calcolo!F17&gt;0,$X$43,0)</f>
        <v>0</v>
      </c>
      <c r="Q44" s="337"/>
      <c r="R44" s="337"/>
      <c r="S44" s="304"/>
      <c r="T44" s="304"/>
      <c r="U44" s="304"/>
      <c r="V44" s="304"/>
    </row>
    <row r="45" spans="2:28" ht="18">
      <c r="B45" s="535">
        <f>IF(Calcolo!F31&gt;0,Calcolo!B31,0)</f>
        <v>0</v>
      </c>
      <c r="C45" s="535"/>
      <c r="D45" s="535"/>
      <c r="E45" s="535"/>
      <c r="F45" s="535"/>
      <c r="G45" s="387">
        <f>IF(Calcolo!F31&gt;0,Calcolo!F31*Parametri!$I$27*Parametri!$I$28/1000000,0)</f>
        <v>0</v>
      </c>
      <c r="H45" s="387">
        <f>IF(Calcolo!F31&gt;0,$X$41,0)</f>
        <v>0</v>
      </c>
      <c r="I45" s="337"/>
      <c r="J45" s="531">
        <f>IF(Calcolo!F18&gt;0,Calcolo!B18,0)</f>
        <v>0</v>
      </c>
      <c r="K45" s="531"/>
      <c r="L45" s="531"/>
      <c r="M45" s="531"/>
      <c r="N45" s="531"/>
      <c r="O45" s="388">
        <f>IF(Calcolo!F18&gt;0,Calcolo!F18*Parametri!$I$27*Parametri!$I$28/1000,0)</f>
        <v>0</v>
      </c>
      <c r="P45" s="388">
        <f>IF(Calcolo!F18&gt;0,$X$43,0)</f>
        <v>0</v>
      </c>
      <c r="Q45" s="337"/>
      <c r="R45" s="337"/>
      <c r="S45" s="304"/>
      <c r="T45" s="304"/>
      <c r="U45" s="304"/>
      <c r="V45" s="304"/>
    </row>
    <row r="46" spans="2:28" ht="18">
      <c r="B46" s="531" t="str">
        <f>IF(Calcolo!F34&gt;0,Calcolo!B34,0)</f>
        <v>Ammonium nitrate</v>
      </c>
      <c r="C46" s="531"/>
      <c r="D46" s="531"/>
      <c r="E46" s="531"/>
      <c r="F46" s="531"/>
      <c r="G46" s="388">
        <f>IF(Calcolo!F34&gt;0,Calcolo!F34*Parametri!$I$27*Parametri!$I$28/1000000,0)</f>
        <v>0.32509432428037088</v>
      </c>
      <c r="H46" s="388" t="str">
        <f>IF(Calcolo!F34&gt;0,$X$41,0)</f>
        <v>Kg</v>
      </c>
      <c r="I46" s="337"/>
      <c r="J46" s="535">
        <f>IF(Calcolo!F19&gt;0,Calcolo!B19,0)</f>
        <v>0</v>
      </c>
      <c r="K46" s="535"/>
      <c r="L46" s="535"/>
      <c r="M46" s="535"/>
      <c r="N46" s="535"/>
      <c r="O46" s="387">
        <f>IF(Calcolo!F19&gt;0,Calcolo!F19*Parametri!$I$27*Parametri!$I$28/1000,0)</f>
        <v>0</v>
      </c>
      <c r="P46" s="387">
        <f>IF(Calcolo!F19&gt;0,$X$43,0)</f>
        <v>0</v>
      </c>
      <c r="Q46" s="337"/>
      <c r="R46" s="337"/>
      <c r="S46" s="304"/>
      <c r="T46" s="304"/>
      <c r="U46" s="304"/>
      <c r="V46" s="304"/>
    </row>
    <row r="47" spans="2:28" ht="20.25" customHeight="1">
      <c r="B47" s="535" t="str">
        <f>IF(G47&gt;0,Calcolo!B46,0)</f>
        <v>Potassium nitrate</v>
      </c>
      <c r="C47" s="535"/>
      <c r="D47" s="535"/>
      <c r="E47" s="535"/>
      <c r="F47" s="535"/>
      <c r="G47" s="387">
        <f>IF(Calcolo!F46&gt;0,IF((AA41-AA42)&gt;0,IF((AA41-AA42)&gt;Calcolo!F46,0,((Calcolo!F46-(Stampa!AA41-Stampa!AA42))/2)*Parametri!$I$27*Parametri!$I$28/1000000),IF((-AA41+AA42)&gt;Calcolo!F46,Calcolo!F46*Parametri!$I$27*Parametri!$I$28/1000000,(((Stampa!AA42-Stampa!AA41)+(Calcolo!F46-(Stampa!AA42-Stampa!AA41))/2)*Parametri!$I$27*Parametri!$I$28/1000000))),0)</f>
        <v>3.2443593760577145</v>
      </c>
      <c r="H47" s="387" t="str">
        <f>IF(G47&gt;0,$X$41,0)</f>
        <v>Kg</v>
      </c>
      <c r="I47" s="337"/>
      <c r="J47" s="531">
        <f>IF(Calcolo!F20&gt;0,Calcolo!B20,0)</f>
        <v>0</v>
      </c>
      <c r="K47" s="531"/>
      <c r="L47" s="531"/>
      <c r="M47" s="531"/>
      <c r="N47" s="531"/>
      <c r="O47" s="388">
        <f>IF(Calcolo!F20&gt;0,Calcolo!F20*Parametri!$I$27*Parametri!$I$28/1000,0)</f>
        <v>0</v>
      </c>
      <c r="P47" s="388">
        <f>IF(Calcolo!F20&gt;0,$X$43,0)</f>
        <v>0</v>
      </c>
      <c r="Q47" s="337"/>
      <c r="R47" s="337"/>
      <c r="S47" s="304"/>
      <c r="T47" s="304"/>
      <c r="U47" s="304"/>
      <c r="V47" s="304"/>
    </row>
    <row r="48" spans="2:28" ht="18">
      <c r="B48" s="531" t="str">
        <f>IF(Calcolo!F53&gt;0,Calcolo!B53,0)</f>
        <v>Iron  EDTA</v>
      </c>
      <c r="C48" s="531"/>
      <c r="D48" s="531"/>
      <c r="E48" s="531"/>
      <c r="F48" s="531"/>
      <c r="G48" s="388">
        <f>IF(Calcolo!F53&gt;0,Calcolo!F53*Parametri!$I$27*Parametri!$I$28/1000,0)</f>
        <v>128.88461538461542</v>
      </c>
      <c r="H48" s="388" t="str">
        <f>IF(Calcolo!F53&gt;0,$X$42,0)</f>
        <v>g</v>
      </c>
      <c r="I48" s="337"/>
      <c r="J48" s="337"/>
      <c r="K48" s="337"/>
      <c r="L48" s="337"/>
      <c r="M48" s="337"/>
      <c r="N48" s="337"/>
      <c r="O48" s="337"/>
      <c r="P48" s="337"/>
      <c r="Q48" s="337"/>
      <c r="R48" s="337"/>
      <c r="S48" s="304"/>
      <c r="T48" s="304"/>
      <c r="U48" s="304"/>
      <c r="V48" s="304"/>
    </row>
    <row r="49" spans="2:22" ht="18">
      <c r="B49" s="535">
        <f>IF(Calcolo!F54&gt;0,Calcolo!B54,0)</f>
        <v>0</v>
      </c>
      <c r="C49" s="535"/>
      <c r="D49" s="535"/>
      <c r="E49" s="535"/>
      <c r="F49" s="535"/>
      <c r="G49" s="387">
        <f>IF(Calcolo!F54&gt;0,Calcolo!F54*Parametri!$I$27*Parametri!$I$28/1000,0)</f>
        <v>0</v>
      </c>
      <c r="H49" s="387">
        <f>IF(Calcolo!F54&gt;0,$X$42,0)</f>
        <v>0</v>
      </c>
      <c r="I49" s="337"/>
      <c r="J49" s="337"/>
      <c r="K49" s="337"/>
      <c r="L49" s="337"/>
      <c r="M49" s="337"/>
      <c r="N49" s="337"/>
      <c r="O49" s="337"/>
      <c r="P49" s="337"/>
      <c r="Q49" s="337"/>
      <c r="R49" s="337"/>
      <c r="S49" s="304"/>
      <c r="T49" s="304"/>
      <c r="U49" s="304"/>
      <c r="V49" s="304"/>
    </row>
    <row r="50" spans="2:22" ht="18">
      <c r="B50" s="531">
        <f>IF(Calcolo!F55&gt;0,Calcolo!B55,0)</f>
        <v>0</v>
      </c>
      <c r="C50" s="531"/>
      <c r="D50" s="531"/>
      <c r="E50" s="531"/>
      <c r="F50" s="531"/>
      <c r="G50" s="388">
        <f>IF(Calcolo!F55&gt;0,Calcolo!F55*Parametri!$I$27*Parametri!$I$28/1000,0)</f>
        <v>0</v>
      </c>
      <c r="H50" s="388">
        <f>IF(Calcolo!F55&gt;0,$X$42,0)</f>
        <v>0</v>
      </c>
      <c r="I50" s="337"/>
      <c r="J50" s="337"/>
      <c r="K50" s="337"/>
      <c r="L50" s="337"/>
      <c r="M50" s="337"/>
      <c r="N50" s="337"/>
      <c r="O50" s="337"/>
      <c r="P50" s="337"/>
      <c r="Q50" s="337"/>
      <c r="R50" s="337"/>
      <c r="S50" s="304"/>
      <c r="T50" s="304"/>
      <c r="U50" s="304"/>
      <c r="V50" s="304"/>
    </row>
    <row r="51" spans="2:22" ht="18">
      <c r="B51" s="535">
        <f>IF(Calcolo!F71&gt;0,Calcolo!B71,0)</f>
        <v>0</v>
      </c>
      <c r="C51" s="535"/>
      <c r="D51" s="535"/>
      <c r="E51" s="535"/>
      <c r="F51" s="535"/>
      <c r="G51" s="387">
        <f>IF(Calcolo!F71&gt;0,Calcolo!F71*Parametri!$I$27*Parametri!$I$28/1000000,0)</f>
        <v>0</v>
      </c>
      <c r="H51" s="387">
        <f>IF(Calcolo!F71&gt;0,$X$41,0)</f>
        <v>0</v>
      </c>
      <c r="I51" s="337"/>
      <c r="J51" s="337"/>
      <c r="K51" s="337"/>
      <c r="L51" s="337"/>
      <c r="M51" s="337"/>
      <c r="N51" s="337"/>
      <c r="O51" s="337"/>
      <c r="P51" s="337"/>
      <c r="Q51" s="337"/>
      <c r="R51" s="337"/>
      <c r="S51" s="304"/>
      <c r="T51" s="304"/>
      <c r="U51" s="304"/>
      <c r="V51" s="304"/>
    </row>
    <row r="52" spans="2:22">
      <c r="B52" s="337"/>
      <c r="C52" s="337"/>
      <c r="D52" s="337"/>
      <c r="E52" s="337"/>
      <c r="F52" s="337"/>
      <c r="G52" s="337"/>
      <c r="H52" s="337"/>
      <c r="I52" s="337"/>
      <c r="J52" s="322"/>
      <c r="K52" s="322"/>
      <c r="L52" s="322"/>
      <c r="M52" s="322"/>
      <c r="N52" s="322"/>
      <c r="O52" s="322"/>
      <c r="P52" s="322"/>
      <c r="Q52" s="322"/>
      <c r="R52" s="337"/>
      <c r="S52" s="304"/>
      <c r="T52" s="304"/>
      <c r="U52" s="304"/>
      <c r="V52" s="304"/>
    </row>
    <row r="53" spans="2:22" ht="20">
      <c r="B53" s="530" t="s">
        <v>151</v>
      </c>
      <c r="C53" s="530"/>
      <c r="D53" s="530"/>
      <c r="E53" s="530"/>
      <c r="F53" s="337"/>
      <c r="G53" s="337"/>
      <c r="H53" s="337"/>
      <c r="I53" s="337"/>
      <c r="J53" s="389"/>
      <c r="K53" s="389"/>
      <c r="L53" s="389"/>
      <c r="M53" s="389"/>
      <c r="N53" s="389"/>
      <c r="O53" s="389"/>
      <c r="P53" s="389"/>
      <c r="Q53" s="389"/>
      <c r="R53" s="337"/>
      <c r="S53" s="304"/>
      <c r="T53" s="304"/>
      <c r="U53" s="304"/>
      <c r="V53" s="304"/>
    </row>
    <row r="54" spans="2:22" ht="18">
      <c r="B54" s="535">
        <f>IF(Calcolo!F24&gt;0,Calcolo!B24,0)</f>
        <v>0</v>
      </c>
      <c r="C54" s="535"/>
      <c r="D54" s="535"/>
      <c r="E54" s="535"/>
      <c r="F54" s="535"/>
      <c r="G54" s="387">
        <f>IF(Calcolo!F24&gt;0,Calcolo!F24*Parametri!$I$27*Parametri!$I$28/1000000,0)</f>
        <v>0</v>
      </c>
      <c r="H54" s="387">
        <f>IF(Calcolo!F24&gt;0,$X$41,0)</f>
        <v>0</v>
      </c>
      <c r="I54" s="337"/>
      <c r="J54" s="389"/>
      <c r="K54" s="389"/>
      <c r="L54" s="389"/>
      <c r="M54" s="389"/>
      <c r="N54" s="389"/>
      <c r="O54" s="389"/>
      <c r="P54" s="389"/>
      <c r="Q54" s="389"/>
      <c r="R54" s="337"/>
      <c r="S54" s="304"/>
      <c r="T54" s="304"/>
      <c r="U54" s="304"/>
      <c r="V54" s="304"/>
    </row>
    <row r="55" spans="2:22" ht="18">
      <c r="B55" s="531">
        <f>IF(Calcolo!F25&gt;0,Calcolo!B25,0)</f>
        <v>0</v>
      </c>
      <c r="C55" s="531"/>
      <c r="D55" s="531"/>
      <c r="E55" s="531"/>
      <c r="F55" s="531"/>
      <c r="G55" s="388">
        <f>IF(Calcolo!F25&gt;0,Calcolo!F25*Parametri!$I$27*Parametri!$I$28/1000000,0)</f>
        <v>0</v>
      </c>
      <c r="H55" s="388">
        <f>IF(Calcolo!F25&gt;0,$X$41,0)</f>
        <v>0</v>
      </c>
      <c r="I55" s="337"/>
      <c r="J55" s="389"/>
      <c r="K55" s="389"/>
      <c r="L55" s="389"/>
      <c r="M55" s="389"/>
      <c r="N55" s="389"/>
      <c r="O55" s="389"/>
      <c r="P55" s="389"/>
      <c r="Q55" s="389"/>
      <c r="R55" s="337"/>
      <c r="S55" s="304"/>
      <c r="T55" s="304"/>
      <c r="U55" s="304"/>
      <c r="V55" s="304"/>
    </row>
    <row r="56" spans="2:22" ht="18">
      <c r="B56" s="535">
        <f>IF(Calcolo!F26&gt;0,Calcolo!B26,0)</f>
        <v>0</v>
      </c>
      <c r="C56" s="535"/>
      <c r="D56" s="535"/>
      <c r="E56" s="535"/>
      <c r="F56" s="535"/>
      <c r="G56" s="387">
        <f>IF(Calcolo!F26&gt;0,Calcolo!F26*Parametri!$I$27*Parametri!$I$28/1000000,0)</f>
        <v>0</v>
      </c>
      <c r="H56" s="387">
        <f>IF(Calcolo!F26&gt;0,$X$41,0)</f>
        <v>0</v>
      </c>
      <c r="I56" s="337"/>
      <c r="J56" s="389"/>
      <c r="K56" s="389"/>
      <c r="L56" s="389"/>
      <c r="M56" s="389"/>
      <c r="N56" s="389"/>
      <c r="O56" s="389"/>
      <c r="P56" s="389"/>
      <c r="Q56" s="389"/>
      <c r="R56" s="337"/>
      <c r="S56" s="304"/>
      <c r="T56" s="304"/>
      <c r="U56" s="304"/>
      <c r="V56" s="304"/>
    </row>
    <row r="57" spans="2:22" ht="18">
      <c r="B57" s="531" t="str">
        <f>IF(Calcolo!F42&gt;0,Calcolo!B42,0)</f>
        <v>Magnesium sulphate</v>
      </c>
      <c r="C57" s="531"/>
      <c r="D57" s="531"/>
      <c r="E57" s="531"/>
      <c r="F57" s="531"/>
      <c r="G57" s="388">
        <f>IF(Calcolo!F42&gt;0,Calcolo!F42*Parametri!$I$27*Parametri!$I$28/1000000,0)</f>
        <v>7.6072467849432082</v>
      </c>
      <c r="H57" s="388" t="str">
        <f>IF(Calcolo!F42&gt;0,$X$41,0)</f>
        <v>Kg</v>
      </c>
      <c r="I57" s="337"/>
      <c r="J57" s="389"/>
      <c r="K57" s="389"/>
      <c r="L57" s="389"/>
      <c r="M57" s="389"/>
      <c r="N57" s="389"/>
      <c r="O57" s="389"/>
      <c r="P57" s="389"/>
      <c r="Q57" s="389"/>
      <c r="R57" s="337"/>
      <c r="S57" s="304"/>
      <c r="T57" s="304"/>
      <c r="U57" s="304"/>
      <c r="V57" s="304"/>
    </row>
    <row r="58" spans="2:22" ht="18">
      <c r="B58" s="535">
        <f>IF(Calcolo!F43&gt;0,Calcolo!B43,0)</f>
        <v>0</v>
      </c>
      <c r="C58" s="535"/>
      <c r="D58" s="535"/>
      <c r="E58" s="535"/>
      <c r="F58" s="535"/>
      <c r="G58" s="387">
        <f>IF(Calcolo!F43&gt;0,Calcolo!F43*Parametri!$I$27*Parametri!$I$28/1000000,0)</f>
        <v>0</v>
      </c>
      <c r="H58" s="387">
        <f>IF(Calcolo!F43&gt;0,$X$41,0)</f>
        <v>0</v>
      </c>
      <c r="I58" s="337"/>
      <c r="J58" s="389"/>
      <c r="K58" s="389"/>
      <c r="L58" s="389"/>
      <c r="M58" s="389"/>
      <c r="N58" s="389"/>
      <c r="O58" s="389"/>
      <c r="P58" s="389"/>
      <c r="Q58" s="389"/>
      <c r="R58" s="337"/>
      <c r="S58" s="304"/>
      <c r="T58" s="304"/>
      <c r="U58" s="304"/>
      <c r="V58" s="304"/>
    </row>
    <row r="59" spans="2:22" ht="18">
      <c r="B59" s="531">
        <f>IF(Calcolo!F35&gt;0,Calcolo!B35,0)</f>
        <v>0</v>
      </c>
      <c r="C59" s="531"/>
      <c r="D59" s="531"/>
      <c r="E59" s="531"/>
      <c r="F59" s="531"/>
      <c r="G59" s="388">
        <f>IF(Calcolo!F35&gt;0,Calcolo!F35*Parametri!$I$27*Parametri!$I$28/1000000,0)</f>
        <v>0</v>
      </c>
      <c r="H59" s="388">
        <f>IF(Calcolo!F35&gt;0,$X$41,0)</f>
        <v>0</v>
      </c>
      <c r="I59" s="337"/>
      <c r="J59" s="322"/>
      <c r="K59" s="322"/>
      <c r="L59" s="322"/>
      <c r="M59" s="322"/>
      <c r="N59" s="322"/>
      <c r="O59" s="322"/>
      <c r="P59" s="322"/>
      <c r="Q59" s="322"/>
      <c r="R59" s="337"/>
      <c r="S59" s="304"/>
      <c r="T59" s="304"/>
      <c r="U59" s="304"/>
      <c r="V59" s="304"/>
    </row>
    <row r="60" spans="2:22" ht="18">
      <c r="B60" s="535">
        <f>IF(G60&gt;0,Calcolo!B36,0)</f>
        <v>0</v>
      </c>
      <c r="C60" s="535"/>
      <c r="D60" s="535"/>
      <c r="E60" s="535"/>
      <c r="F60" s="535"/>
      <c r="G60" s="387">
        <f>IF(Calcolo!F36&gt;0,Calcolo!F36*Parametri!$I$27*Parametri!$I$28/1000000,0)</f>
        <v>0</v>
      </c>
      <c r="H60" s="387">
        <f>IF(Calcolo!F36&gt;0,$X$41,0)</f>
        <v>0</v>
      </c>
      <c r="I60" s="337"/>
      <c r="J60" s="322"/>
      <c r="K60" s="322"/>
      <c r="L60" s="322"/>
      <c r="M60" s="322"/>
      <c r="N60" s="322"/>
      <c r="O60" s="322"/>
      <c r="P60" s="322"/>
      <c r="Q60" s="322"/>
      <c r="R60" s="337"/>
      <c r="S60" s="304"/>
      <c r="T60" s="304"/>
      <c r="U60" s="304"/>
      <c r="V60" s="304"/>
    </row>
    <row r="61" spans="2:22" ht="18">
      <c r="B61" s="531" t="str">
        <f>IF(Calcolo!F39&gt;0,Calcolo!B39,0)</f>
        <v>Mono-potassium phosphate</v>
      </c>
      <c r="C61" s="531"/>
      <c r="D61" s="531"/>
      <c r="E61" s="531"/>
      <c r="F61" s="531"/>
      <c r="G61" s="388">
        <f>IF(Calcolo!F39&gt;0,Calcolo!F39*Parametri!$I$27*Parametri!$I$28/1000000,0)</f>
        <v>2.7193934349659878</v>
      </c>
      <c r="H61" s="388" t="str">
        <f>IF(Calcolo!F39&gt;0,$X$41,0)</f>
        <v>Kg</v>
      </c>
      <c r="I61" s="337"/>
      <c r="J61" s="337"/>
      <c r="K61" s="337"/>
      <c r="L61" s="337"/>
      <c r="M61" s="337"/>
      <c r="N61" s="337"/>
      <c r="O61" s="337"/>
      <c r="P61" s="337"/>
      <c r="Q61" s="337"/>
      <c r="R61" s="337"/>
      <c r="S61" s="304"/>
      <c r="T61" s="304"/>
      <c r="U61" s="304"/>
      <c r="V61" s="304"/>
    </row>
    <row r="62" spans="2:22" ht="18">
      <c r="B62" s="535" t="str">
        <f>IF(G62&gt;0,Calcolo!B46,0)</f>
        <v>Potassium nitrate</v>
      </c>
      <c r="C62" s="535"/>
      <c r="D62" s="535"/>
      <c r="E62" s="535"/>
      <c r="F62" s="535"/>
      <c r="G62" s="387">
        <f>IF(Calcolo!F46&gt;0,(Calcolo!F46*Parametri!$I$27*Parametri!$I$28/1000000)-G47,0)</f>
        <v>6.8975408975816848</v>
      </c>
      <c r="H62" s="387" t="str">
        <f>IF(G62&gt;0,$X$41,0)</f>
        <v>Kg</v>
      </c>
      <c r="I62" s="337"/>
      <c r="J62" s="337"/>
      <c r="K62" s="337"/>
      <c r="L62" s="337"/>
      <c r="M62" s="337"/>
      <c r="N62" s="337"/>
      <c r="O62" s="337"/>
      <c r="P62" s="337"/>
      <c r="Q62" s="337"/>
      <c r="R62" s="337"/>
      <c r="S62" s="304"/>
      <c r="T62" s="304"/>
      <c r="U62" s="304"/>
      <c r="V62" s="304"/>
    </row>
    <row r="63" spans="2:22" ht="18">
      <c r="B63" s="531" t="str">
        <f>IF(Calcolo!F49&gt;0,Calcolo!B49,0)</f>
        <v xml:space="preserve">Potassium sulphate </v>
      </c>
      <c r="C63" s="531"/>
      <c r="D63" s="531"/>
      <c r="E63" s="531"/>
      <c r="F63" s="531"/>
      <c r="G63" s="388">
        <f>IF(Calcolo!F49&gt;0,Calcolo!F49*Parametri!$I$27*Parametri!$I$28/1000000,0)</f>
        <v>3.6127870160419002</v>
      </c>
      <c r="H63" s="388" t="str">
        <f>IF(Calcolo!F49&gt;0,$X$41,0)</f>
        <v>Kg</v>
      </c>
      <c r="I63" s="337"/>
      <c r="J63" s="337"/>
      <c r="K63" s="337"/>
      <c r="L63" s="337"/>
      <c r="M63" s="337"/>
      <c r="N63" s="337"/>
      <c r="O63" s="337"/>
      <c r="P63" s="337"/>
      <c r="Q63" s="337"/>
      <c r="R63" s="337"/>
      <c r="S63" s="304"/>
      <c r="T63" s="304"/>
      <c r="U63" s="304"/>
      <c r="V63" s="304"/>
    </row>
    <row r="64" spans="2:22" ht="18">
      <c r="B64" s="535">
        <f>IF(Calcolo!F50&gt;0,Calcolo!B50,0)</f>
        <v>0</v>
      </c>
      <c r="C64" s="535"/>
      <c r="D64" s="535"/>
      <c r="E64" s="535"/>
      <c r="F64" s="535"/>
      <c r="G64" s="387">
        <f>IF(Calcolo!F50&gt;0,Calcolo!F50*Parametri!$I$27*Parametri!$I$28/1000000,0)</f>
        <v>0</v>
      </c>
      <c r="H64" s="387">
        <f>IF(Calcolo!F50&gt;0,$X$41,0)</f>
        <v>0</v>
      </c>
      <c r="I64" s="337"/>
      <c r="J64" s="337"/>
      <c r="K64" s="337"/>
      <c r="L64" s="337"/>
      <c r="M64" s="337"/>
      <c r="N64" s="337"/>
      <c r="O64" s="337"/>
      <c r="P64" s="337"/>
      <c r="Q64" s="337"/>
      <c r="R64" s="337"/>
      <c r="S64" s="304"/>
      <c r="T64" s="304"/>
      <c r="U64" s="304"/>
      <c r="V64" s="304"/>
    </row>
    <row r="65" spans="2:22" ht="18">
      <c r="B65" s="531">
        <f>IF(Calcolo!F58&gt;0,Calcolo!B58,0)</f>
        <v>0</v>
      </c>
      <c r="C65" s="531"/>
      <c r="D65" s="531"/>
      <c r="E65" s="531"/>
      <c r="F65" s="531"/>
      <c r="G65" s="388">
        <f>IF(Calcolo!F58&gt;0,Calcolo!F58*Parametri!$I$27*Parametri!$I$28/1000,0)</f>
        <v>0</v>
      </c>
      <c r="H65" s="388">
        <f>IF(Calcolo!F58&gt;0,$X$42,0)</f>
        <v>0</v>
      </c>
      <c r="I65" s="337"/>
      <c r="J65" s="337"/>
      <c r="K65" s="337"/>
      <c r="L65" s="337"/>
      <c r="M65" s="337"/>
      <c r="N65" s="337"/>
      <c r="O65" s="337"/>
      <c r="P65" s="337"/>
      <c r="Q65" s="337"/>
      <c r="R65" s="337"/>
      <c r="S65" s="304"/>
      <c r="T65" s="304"/>
      <c r="U65" s="304"/>
      <c r="V65" s="304"/>
    </row>
    <row r="66" spans="2:22" ht="18">
      <c r="B66" s="535">
        <f>IF(Calcolo!F59&gt;0,Calcolo!B59,0)</f>
        <v>0</v>
      </c>
      <c r="C66" s="535"/>
      <c r="D66" s="535"/>
      <c r="E66" s="535"/>
      <c r="F66" s="535"/>
      <c r="G66" s="387">
        <f>IF(Calcolo!F59&gt;0,Calcolo!F59*Parametri!$I$27*Parametri!$I$28/1000,0)</f>
        <v>0</v>
      </c>
      <c r="H66" s="387">
        <f>IF(Calcolo!F59&gt;0,$X$42,0)</f>
        <v>0</v>
      </c>
      <c r="I66" s="337"/>
      <c r="J66" s="337"/>
      <c r="K66" s="337"/>
      <c r="L66" s="337"/>
      <c r="M66" s="337"/>
      <c r="N66" s="337"/>
      <c r="O66" s="337"/>
      <c r="P66" s="337"/>
      <c r="Q66" s="337"/>
      <c r="R66" s="337"/>
      <c r="S66" s="304"/>
      <c r="T66" s="304"/>
      <c r="U66" s="304"/>
      <c r="V66" s="304"/>
    </row>
    <row r="67" spans="2:22" ht="18">
      <c r="B67" s="531" t="str">
        <f>IF(Calcolo!F60&gt;0,Calcolo!B60,0)</f>
        <v>Borax</v>
      </c>
      <c r="C67" s="531"/>
      <c r="D67" s="531"/>
      <c r="E67" s="531"/>
      <c r="F67" s="531"/>
      <c r="G67" s="388">
        <f>IF(Calcolo!F60&gt;0,Calcolo!F60*Parametri!$I$27*Parametri!$I$28/1000,0)</f>
        <v>38.230088495575217</v>
      </c>
      <c r="H67" s="388" t="str">
        <f>IF(Calcolo!F60&gt;0,$X$42,0)</f>
        <v>g</v>
      </c>
      <c r="I67" s="337"/>
      <c r="J67" s="337"/>
      <c r="K67" s="337"/>
      <c r="L67" s="337"/>
      <c r="M67" s="337"/>
      <c r="N67" s="337"/>
      <c r="O67" s="337"/>
      <c r="P67" s="337"/>
      <c r="Q67" s="337"/>
      <c r="R67" s="337"/>
      <c r="S67" s="304"/>
      <c r="T67" s="304"/>
      <c r="U67" s="304"/>
      <c r="V67" s="304"/>
    </row>
    <row r="68" spans="2:22" ht="18">
      <c r="B68" s="535">
        <f>IF(Calcolo!F61&gt;0,Calcolo!B61,0)</f>
        <v>0</v>
      </c>
      <c r="C68" s="535"/>
      <c r="D68" s="535"/>
      <c r="E68" s="535"/>
      <c r="F68" s="535"/>
      <c r="G68" s="387">
        <f>IF(Calcolo!F61&gt;0,Calcolo!F61*Parametri!$I$27*Parametri!$I$28/1000,0)</f>
        <v>0</v>
      </c>
      <c r="H68" s="387">
        <f>IF(Calcolo!F61&gt;0,$X$42,0)</f>
        <v>0</v>
      </c>
      <c r="I68" s="337"/>
      <c r="J68" s="337"/>
      <c r="K68" s="337"/>
      <c r="L68" s="337"/>
      <c r="M68" s="337"/>
      <c r="N68" s="337"/>
      <c r="O68" s="337"/>
      <c r="P68" s="337"/>
      <c r="Q68" s="337"/>
      <c r="R68" s="337"/>
      <c r="S68" s="304"/>
      <c r="T68" s="304"/>
      <c r="U68" s="304"/>
      <c r="V68" s="304"/>
    </row>
    <row r="69" spans="2:22" ht="18">
      <c r="B69" s="531" t="str">
        <f>IF(Calcolo!F62&gt;0,Calcolo!B62,0)</f>
        <v>Copper sulphate</v>
      </c>
      <c r="C69" s="531"/>
      <c r="D69" s="531"/>
      <c r="E69" s="531"/>
      <c r="F69" s="531"/>
      <c r="G69" s="388">
        <f>IF(Calcolo!F62&gt;0,Calcolo!F62*Parametri!$I$27*Parametri!$I$28/1000,0)</f>
        <v>4.9843137254901961</v>
      </c>
      <c r="H69" s="388" t="str">
        <f>IF(Calcolo!F62&gt;0,$X$42,0)</f>
        <v>g</v>
      </c>
      <c r="I69" s="337"/>
      <c r="J69" s="337"/>
      <c r="K69" s="337"/>
      <c r="L69" s="337"/>
      <c r="M69" s="337"/>
      <c r="N69" s="337"/>
      <c r="O69" s="337"/>
      <c r="P69" s="337"/>
      <c r="Q69" s="337"/>
      <c r="R69" s="337"/>
      <c r="S69" s="304"/>
      <c r="T69" s="304"/>
      <c r="U69" s="304"/>
      <c r="V69" s="304"/>
    </row>
    <row r="70" spans="2:22" ht="18">
      <c r="B70" s="535">
        <f>IF(Calcolo!F63&gt;0,Calcolo!B63,0)</f>
        <v>0</v>
      </c>
      <c r="C70" s="535"/>
      <c r="D70" s="535"/>
      <c r="E70" s="535"/>
      <c r="F70" s="535"/>
      <c r="G70" s="387">
        <f>IF(Calcolo!F63&gt;0,Calcolo!F63*Parametri!$I$27*Parametri!$I$28/1000,0)</f>
        <v>0</v>
      </c>
      <c r="H70" s="387">
        <f>IF(Calcolo!F63&gt;0,$X$42,0)</f>
        <v>0</v>
      </c>
      <c r="I70" s="337"/>
      <c r="J70" s="337"/>
      <c r="K70" s="337"/>
      <c r="L70" s="337"/>
      <c r="M70" s="337"/>
      <c r="N70" s="337"/>
      <c r="O70" s="337"/>
      <c r="P70" s="337"/>
      <c r="Q70" s="337"/>
      <c r="R70" s="337"/>
      <c r="S70" s="304"/>
      <c r="T70" s="304"/>
      <c r="U70" s="304"/>
      <c r="V70" s="304"/>
    </row>
    <row r="71" spans="2:22" ht="18">
      <c r="B71" s="531" t="str">
        <f>IF(Calcolo!F64&gt;0,Calcolo!B64,0)</f>
        <v>Zinc sulphate</v>
      </c>
      <c r="C71" s="531"/>
      <c r="D71" s="531"/>
      <c r="E71" s="531"/>
      <c r="F71" s="531"/>
      <c r="G71" s="388">
        <f>IF(Calcolo!F64&gt;0,Calcolo!F64*Parametri!$I$27*Parametri!$I$28/1000,0)</f>
        <v>28.801762114537443</v>
      </c>
      <c r="H71" s="388" t="str">
        <f>IF(Calcolo!F64&gt;0,$X$42,0)</f>
        <v>g</v>
      </c>
      <c r="I71" s="337"/>
      <c r="J71" s="337"/>
      <c r="K71" s="337"/>
      <c r="L71" s="337"/>
      <c r="M71" s="337"/>
      <c r="N71" s="337"/>
      <c r="O71" s="337"/>
      <c r="P71" s="337"/>
      <c r="Q71" s="337"/>
      <c r="R71" s="337"/>
      <c r="S71" s="304"/>
      <c r="T71" s="304"/>
      <c r="U71" s="304"/>
      <c r="V71" s="304"/>
    </row>
    <row r="72" spans="2:22" ht="18">
      <c r="B72" s="535">
        <f>IF(Calcolo!F65&gt;0,Calcolo!B65,0)</f>
        <v>0</v>
      </c>
      <c r="C72" s="535"/>
      <c r="D72" s="535"/>
      <c r="E72" s="535"/>
      <c r="F72" s="535"/>
      <c r="G72" s="387">
        <f>IF(Calcolo!F65&gt;0,Calcolo!F65*Parametri!$I$27*Parametri!$I$28/1000,0)</f>
        <v>0</v>
      </c>
      <c r="H72" s="387">
        <f>IF(Calcolo!F65&gt;0,$X$42,0)</f>
        <v>0</v>
      </c>
      <c r="I72" s="337"/>
      <c r="J72" s="337"/>
      <c r="K72" s="337"/>
      <c r="L72" s="337"/>
      <c r="M72" s="337"/>
      <c r="N72" s="337"/>
      <c r="O72" s="337"/>
      <c r="P72" s="337"/>
      <c r="Q72" s="337"/>
      <c r="R72" s="337"/>
      <c r="S72" s="304"/>
      <c r="T72" s="304"/>
      <c r="U72" s="304"/>
      <c r="V72" s="304"/>
    </row>
    <row r="73" spans="2:22" ht="18">
      <c r="B73" s="531" t="str">
        <f>IF(Calcolo!F66&gt;0,Calcolo!B66,0)</f>
        <v>Manganese sulphate</v>
      </c>
      <c r="C73" s="531"/>
      <c r="D73" s="531"/>
      <c r="E73" s="531"/>
      <c r="F73" s="531"/>
      <c r="G73" s="388">
        <f>IF(Calcolo!F66&gt;0,Calcolo!F66*Parametri!$I$27*Parametri!$I$28/1000,0)</f>
        <v>33.809230769230773</v>
      </c>
      <c r="H73" s="388" t="str">
        <f>IF(Calcolo!F66&gt;0,$X$42,0)</f>
        <v>g</v>
      </c>
      <c r="I73" s="337"/>
      <c r="J73" s="337"/>
      <c r="K73" s="337"/>
      <c r="L73" s="337"/>
      <c r="M73" s="337"/>
      <c r="N73" s="337"/>
      <c r="O73" s="337"/>
      <c r="P73" s="337"/>
      <c r="Q73" s="337"/>
      <c r="R73" s="337"/>
      <c r="S73" s="304"/>
      <c r="T73" s="304"/>
      <c r="U73" s="304"/>
      <c r="V73" s="304"/>
    </row>
    <row r="74" spans="2:22" ht="18">
      <c r="B74" s="535">
        <f>IF(Calcolo!F67&gt;0,Calcolo!B67,0)</f>
        <v>0</v>
      </c>
      <c r="C74" s="535"/>
      <c r="D74" s="535"/>
      <c r="E74" s="535"/>
      <c r="F74" s="535"/>
      <c r="G74" s="387">
        <f>IF(Calcolo!F67&gt;0,Calcolo!F67*Parametri!$I$27*Parametri!$I$28/1000,0)</f>
        <v>0</v>
      </c>
      <c r="H74" s="387">
        <f>IF(Calcolo!F67&gt;0,$X$42,0)</f>
        <v>0</v>
      </c>
      <c r="I74" s="337"/>
      <c r="J74" s="337"/>
      <c r="K74" s="337"/>
      <c r="L74" s="337"/>
      <c r="M74" s="337"/>
      <c r="N74" s="337"/>
      <c r="O74" s="337"/>
      <c r="P74" s="337"/>
      <c r="Q74" s="337"/>
      <c r="R74" s="337"/>
      <c r="S74" s="304"/>
      <c r="T74" s="304"/>
      <c r="U74" s="304"/>
      <c r="V74" s="304"/>
    </row>
    <row r="75" spans="2:22" ht="18">
      <c r="B75" s="531" t="str">
        <f>IF(Calcolo!F68&gt;0,Calcolo!B68,0)</f>
        <v>Ammonium heptamolybdate</v>
      </c>
      <c r="C75" s="531"/>
      <c r="D75" s="531"/>
      <c r="E75" s="531"/>
      <c r="F75" s="531"/>
      <c r="G75" s="388">
        <f>IF(Calcolo!F68&gt;0,Calcolo!F68*Parametri!$I$27*Parametri!$I$28/1000,0)</f>
        <v>3.5275735294117654</v>
      </c>
      <c r="H75" s="388" t="str">
        <f>IF(Calcolo!F68&gt;0,$X$42,0)</f>
        <v>g</v>
      </c>
      <c r="I75" s="337"/>
      <c r="J75" s="337"/>
      <c r="K75" s="337"/>
      <c r="L75" s="337"/>
      <c r="M75" s="337"/>
      <c r="N75" s="337"/>
      <c r="O75" s="337"/>
      <c r="P75" s="337"/>
      <c r="Q75" s="337"/>
      <c r="R75" s="337"/>
      <c r="S75" s="304"/>
      <c r="T75" s="304"/>
      <c r="U75" s="304"/>
      <c r="V75" s="304"/>
    </row>
    <row r="76" spans="2:22" ht="18">
      <c r="B76" s="535">
        <f>IF(Calcolo!F69&gt;0,Calcolo!B69,0)</f>
        <v>0</v>
      </c>
      <c r="C76" s="535"/>
      <c r="D76" s="535"/>
      <c r="E76" s="535"/>
      <c r="F76" s="535"/>
      <c r="G76" s="387">
        <f>IF(Calcolo!F69&gt;0,Calcolo!F69*Parametri!$I$27*Parametri!$I$28/1000,0)</f>
        <v>0</v>
      </c>
      <c r="H76" s="387">
        <f>IF(Calcolo!F69&gt;0,$X$42,0)</f>
        <v>0</v>
      </c>
      <c r="I76" s="337"/>
      <c r="J76" s="337"/>
      <c r="K76" s="337"/>
      <c r="L76" s="337"/>
      <c r="M76" s="337"/>
      <c r="N76" s="337"/>
      <c r="O76" s="337"/>
      <c r="P76" s="337"/>
      <c r="Q76" s="337"/>
      <c r="R76" s="337"/>
      <c r="S76" s="304"/>
      <c r="T76" s="304"/>
      <c r="U76" s="304"/>
      <c r="V76" s="304"/>
    </row>
    <row r="77" spans="2:22">
      <c r="B77" s="337"/>
      <c r="C77" s="337"/>
      <c r="D77" s="337"/>
      <c r="E77" s="337"/>
      <c r="F77" s="337"/>
      <c r="G77" s="337"/>
      <c r="H77" s="337"/>
      <c r="I77" s="337"/>
      <c r="J77" s="337"/>
      <c r="K77" s="337"/>
      <c r="L77" s="337"/>
      <c r="M77" s="337"/>
      <c r="N77" s="337"/>
      <c r="O77" s="337"/>
      <c r="P77" s="337"/>
      <c r="Q77" s="337"/>
      <c r="R77" s="337"/>
      <c r="S77" s="304"/>
      <c r="T77" s="304"/>
      <c r="U77" s="304"/>
      <c r="V77" s="304"/>
    </row>
    <row r="78" spans="2:22" ht="20">
      <c r="B78" s="337"/>
      <c r="C78" s="337"/>
      <c r="D78" s="337"/>
      <c r="E78" s="337"/>
      <c r="F78" s="337"/>
      <c r="G78" s="337"/>
      <c r="H78" s="337"/>
      <c r="I78" s="337"/>
      <c r="J78" s="390"/>
      <c r="K78" s="337"/>
      <c r="L78" s="337"/>
      <c r="M78" s="337"/>
      <c r="N78" s="337"/>
      <c r="O78" s="337"/>
      <c r="P78" s="337"/>
      <c r="Q78" s="337"/>
      <c r="R78" s="337"/>
      <c r="S78" s="304"/>
      <c r="T78" s="304"/>
      <c r="U78" s="304"/>
      <c r="V78" s="304"/>
    </row>
    <row r="79" spans="2:22" ht="21">
      <c r="B79" s="543" t="str">
        <f>Calcolo!B73</f>
        <v>Total cost of stock nutrient solutions</v>
      </c>
      <c r="C79" s="543"/>
      <c r="D79" s="543"/>
      <c r="E79" s="543"/>
      <c r="F79" s="543"/>
      <c r="G79" s="543"/>
      <c r="H79" s="543"/>
      <c r="I79" s="543"/>
      <c r="J79" s="540">
        <f>Calcolo!H73</f>
        <v>19.901922978359742</v>
      </c>
      <c r="K79" s="540"/>
      <c r="L79" s="390" t="s">
        <v>49</v>
      </c>
      <c r="M79" s="394" t="s">
        <v>351</v>
      </c>
      <c r="O79" s="390"/>
      <c r="P79" s="391">
        <f>Calcolo!T73</f>
        <v>0.99509614891798714</v>
      </c>
      <c r="Q79" s="390"/>
      <c r="R79" s="390"/>
      <c r="U79" s="391">
        <f>Calcolo!T73</f>
        <v>0.99509614891798714</v>
      </c>
      <c r="V79" s="304"/>
    </row>
    <row r="80" spans="2:22">
      <c r="B80" s="337"/>
      <c r="C80" s="337"/>
      <c r="D80" s="337"/>
      <c r="E80" s="337"/>
      <c r="F80" s="337"/>
      <c r="G80" s="337"/>
      <c r="H80" s="337"/>
      <c r="I80" s="337"/>
      <c r="J80" s="337"/>
      <c r="K80" s="337"/>
      <c r="L80" s="337"/>
      <c r="M80" s="337"/>
      <c r="N80" s="337"/>
      <c r="O80" s="337"/>
      <c r="P80" s="337"/>
      <c r="Q80" s="337"/>
      <c r="R80" s="337"/>
      <c r="S80" s="304"/>
      <c r="T80" s="304"/>
      <c r="U80" s="304"/>
      <c r="V80" s="304"/>
    </row>
    <row r="81" spans="2:22">
      <c r="B81" s="337"/>
      <c r="C81" s="337"/>
      <c r="D81" s="337"/>
      <c r="E81" s="337"/>
      <c r="F81" s="337"/>
      <c r="G81" s="337"/>
      <c r="H81" s="337"/>
      <c r="I81" s="337"/>
      <c r="J81" s="337"/>
      <c r="K81" s="337"/>
      <c r="L81" s="337"/>
      <c r="M81" s="337"/>
      <c r="N81" s="337"/>
      <c r="O81" s="337"/>
      <c r="P81" s="337"/>
      <c r="Q81" s="337"/>
      <c r="R81" s="337"/>
      <c r="S81" s="304"/>
      <c r="T81" s="304"/>
      <c r="U81" s="304"/>
      <c r="V81" s="304"/>
    </row>
    <row r="82" spans="2:22" ht="18">
      <c r="B82" s="337"/>
      <c r="C82" s="337"/>
      <c r="D82" s="337"/>
      <c r="E82" s="337"/>
      <c r="F82" s="337"/>
      <c r="G82" s="337"/>
      <c r="H82" s="337"/>
      <c r="I82" s="337"/>
      <c r="J82" s="337"/>
      <c r="K82" s="337"/>
      <c r="L82" s="303"/>
      <c r="M82" s="337"/>
      <c r="N82" s="337"/>
      <c r="O82" s="337"/>
      <c r="P82" s="337"/>
      <c r="Q82" s="337"/>
      <c r="R82" s="337"/>
      <c r="S82" s="304"/>
      <c r="T82" s="304"/>
      <c r="U82" s="304"/>
      <c r="V82" s="304"/>
    </row>
    <row r="83" spans="2:22">
      <c r="B83" s="212"/>
      <c r="C83" s="212"/>
      <c r="D83" s="212"/>
      <c r="E83" s="212"/>
      <c r="F83" s="212"/>
      <c r="G83" s="212"/>
      <c r="H83" s="212"/>
      <c r="I83" s="212"/>
      <c r="J83" s="212"/>
      <c r="K83" s="212"/>
      <c r="L83" s="212"/>
      <c r="M83" s="212"/>
      <c r="N83" s="212"/>
      <c r="O83" s="212"/>
      <c r="P83" s="212"/>
      <c r="Q83" s="212"/>
      <c r="R83" s="212"/>
      <c r="S83" s="212"/>
      <c r="T83" s="212"/>
      <c r="U83" s="212"/>
      <c r="V83" s="212"/>
    </row>
    <row r="84" spans="2:22">
      <c r="B84" s="212"/>
      <c r="C84" s="212"/>
      <c r="D84" s="212"/>
      <c r="E84" s="212"/>
      <c r="F84" s="212"/>
      <c r="G84" s="212"/>
      <c r="H84" s="212"/>
      <c r="I84" s="212"/>
      <c r="J84" s="212"/>
      <c r="K84" s="212"/>
      <c r="L84" s="212"/>
      <c r="M84" s="212"/>
      <c r="N84" s="212"/>
      <c r="O84" s="212"/>
      <c r="P84" s="212"/>
      <c r="Q84" s="212"/>
      <c r="R84" s="212"/>
      <c r="S84" s="212"/>
      <c r="T84" s="212"/>
      <c r="U84" s="212"/>
      <c r="V84" s="212"/>
    </row>
    <row r="85" spans="2:22">
      <c r="B85" s="212"/>
      <c r="C85" s="212"/>
      <c r="D85" s="212"/>
      <c r="E85" s="212"/>
      <c r="F85" s="212"/>
      <c r="G85" s="212"/>
      <c r="H85" s="212"/>
      <c r="I85" s="212"/>
      <c r="J85" s="212"/>
      <c r="K85" s="212"/>
      <c r="L85" s="212"/>
      <c r="M85" s="212"/>
      <c r="N85" s="212"/>
      <c r="O85" s="212"/>
      <c r="P85" s="212"/>
      <c r="Q85" s="212"/>
      <c r="R85" s="212"/>
      <c r="S85" s="212"/>
      <c r="T85" s="212"/>
      <c r="U85" s="212"/>
      <c r="V85" s="212"/>
    </row>
    <row r="86" spans="2:22">
      <c r="B86" s="212"/>
      <c r="C86" s="212"/>
      <c r="D86" s="212"/>
      <c r="E86" s="212"/>
      <c r="F86" s="212"/>
      <c r="G86" s="212"/>
      <c r="H86" s="212"/>
      <c r="I86" s="212"/>
      <c r="J86" s="212"/>
      <c r="K86" s="212"/>
      <c r="L86" s="212"/>
      <c r="M86" s="212"/>
      <c r="N86" s="212"/>
      <c r="O86" s="212"/>
      <c r="P86" s="212"/>
      <c r="Q86" s="212"/>
      <c r="R86" s="212"/>
      <c r="S86" s="212"/>
      <c r="T86" s="212"/>
      <c r="U86" s="212"/>
      <c r="V86" s="212"/>
    </row>
    <row r="87" spans="2:22">
      <c r="B87" s="212"/>
      <c r="C87" s="212"/>
      <c r="D87" s="212"/>
      <c r="E87" s="212"/>
      <c r="F87" s="212"/>
      <c r="G87" s="212"/>
      <c r="H87" s="212"/>
      <c r="I87" s="212"/>
      <c r="J87" s="212"/>
      <c r="K87" s="212"/>
      <c r="L87" s="212"/>
      <c r="M87" s="212"/>
      <c r="N87" s="212"/>
      <c r="O87" s="212"/>
      <c r="P87" s="212"/>
      <c r="Q87" s="212"/>
      <c r="R87" s="212"/>
      <c r="S87" s="212"/>
      <c r="T87" s="212"/>
      <c r="U87" s="212"/>
      <c r="V87" s="212"/>
    </row>
    <row r="88" spans="2:22">
      <c r="B88" s="212"/>
      <c r="C88" s="212"/>
      <c r="D88" s="212"/>
      <c r="E88" s="212"/>
      <c r="F88" s="212"/>
      <c r="G88" s="212"/>
      <c r="H88" s="212"/>
      <c r="I88" s="212"/>
      <c r="J88" s="212"/>
      <c r="K88" s="212"/>
      <c r="L88" s="212"/>
      <c r="M88" s="212"/>
      <c r="N88" s="212"/>
      <c r="O88" s="212"/>
      <c r="P88" s="212"/>
      <c r="Q88" s="212"/>
      <c r="R88" s="212"/>
      <c r="S88" s="212"/>
      <c r="T88" s="212"/>
      <c r="U88" s="212"/>
      <c r="V88" s="212"/>
    </row>
    <row r="89" spans="2:22">
      <c r="B89" s="212"/>
      <c r="C89" s="212"/>
      <c r="D89" s="212"/>
      <c r="E89" s="212"/>
      <c r="F89" s="212"/>
      <c r="G89" s="212"/>
      <c r="H89" s="212"/>
      <c r="I89" s="212"/>
      <c r="J89" s="212"/>
      <c r="K89" s="212"/>
      <c r="L89" s="212"/>
      <c r="M89" s="212"/>
      <c r="N89" s="212"/>
      <c r="O89" s="212"/>
      <c r="P89" s="212"/>
      <c r="Q89" s="212"/>
      <c r="R89" s="212"/>
      <c r="S89" s="212"/>
      <c r="T89" s="212"/>
      <c r="U89" s="212"/>
      <c r="V89" s="212"/>
    </row>
    <row r="90" spans="2:22">
      <c r="B90" s="212"/>
      <c r="C90" s="212"/>
      <c r="D90" s="212"/>
      <c r="E90" s="212"/>
      <c r="F90" s="212"/>
      <c r="G90" s="212"/>
      <c r="H90" s="212"/>
      <c r="I90" s="212"/>
      <c r="J90" s="212"/>
      <c r="K90" s="212"/>
      <c r="L90" s="212"/>
      <c r="M90" s="212"/>
      <c r="N90" s="212"/>
      <c r="O90" s="212"/>
      <c r="P90" s="212"/>
      <c r="Q90" s="212"/>
      <c r="R90" s="212"/>
      <c r="S90" s="212"/>
      <c r="T90" s="212"/>
      <c r="U90" s="212"/>
      <c r="V90" s="212"/>
    </row>
    <row r="91" spans="2:22">
      <c r="B91" s="212"/>
      <c r="C91" s="212"/>
      <c r="D91" s="212"/>
      <c r="E91" s="212"/>
      <c r="F91" s="212"/>
      <c r="G91" s="212"/>
      <c r="H91" s="212"/>
      <c r="I91" s="212"/>
      <c r="J91" s="212"/>
      <c r="K91" s="212"/>
      <c r="L91" s="212"/>
      <c r="M91" s="212"/>
      <c r="N91" s="212"/>
      <c r="O91" s="212"/>
      <c r="P91" s="212"/>
      <c r="Q91" s="212"/>
      <c r="R91" s="212"/>
      <c r="S91" s="212"/>
      <c r="T91" s="212"/>
      <c r="U91" s="212"/>
      <c r="V91" s="212"/>
    </row>
    <row r="92" spans="2:22">
      <c r="B92" s="212"/>
      <c r="C92" s="212"/>
      <c r="D92" s="212"/>
      <c r="E92" s="212"/>
      <c r="F92" s="212"/>
      <c r="G92" s="212"/>
      <c r="H92" s="212"/>
      <c r="I92" s="212"/>
      <c r="J92" s="212"/>
      <c r="K92" s="212"/>
      <c r="L92" s="212"/>
      <c r="M92" s="212"/>
      <c r="N92" s="212"/>
      <c r="O92" s="212"/>
      <c r="P92" s="212"/>
      <c r="Q92" s="212"/>
      <c r="R92" s="212"/>
      <c r="S92" s="212"/>
      <c r="T92" s="212"/>
      <c r="U92" s="212"/>
      <c r="V92" s="212"/>
    </row>
    <row r="93" spans="2:22">
      <c r="B93" s="212"/>
      <c r="C93" s="212"/>
      <c r="D93" s="212"/>
      <c r="E93" s="212"/>
      <c r="F93" s="212"/>
      <c r="G93" s="212"/>
      <c r="H93" s="212"/>
      <c r="I93" s="212"/>
      <c r="J93" s="212"/>
      <c r="K93" s="212"/>
      <c r="L93" s="212"/>
      <c r="M93" s="212"/>
      <c r="N93" s="212"/>
      <c r="O93" s="212"/>
      <c r="P93" s="212"/>
      <c r="Q93" s="212"/>
      <c r="R93" s="212"/>
      <c r="S93" s="212"/>
      <c r="T93" s="212"/>
      <c r="U93" s="212"/>
      <c r="V93" s="212"/>
    </row>
    <row r="94" spans="2:22">
      <c r="B94" s="212"/>
      <c r="C94" s="212"/>
      <c r="D94" s="212"/>
      <c r="E94" s="212"/>
      <c r="F94" s="212"/>
      <c r="G94" s="212"/>
      <c r="H94" s="212"/>
      <c r="I94" s="212"/>
      <c r="J94" s="212"/>
      <c r="K94" s="212"/>
      <c r="L94" s="212"/>
      <c r="M94" s="212"/>
      <c r="N94" s="212"/>
      <c r="O94" s="212"/>
      <c r="P94" s="212"/>
      <c r="Q94" s="212"/>
      <c r="R94" s="212"/>
      <c r="S94" s="212"/>
      <c r="T94" s="212"/>
      <c r="U94" s="212"/>
      <c r="V94" s="212"/>
    </row>
    <row r="95" spans="2:22">
      <c r="B95" s="212"/>
      <c r="C95" s="212"/>
      <c r="D95" s="212"/>
      <c r="E95" s="212"/>
      <c r="F95" s="212"/>
      <c r="G95" s="212"/>
      <c r="H95" s="212"/>
      <c r="I95" s="212"/>
      <c r="J95" s="212"/>
      <c r="K95" s="212"/>
      <c r="L95" s="212"/>
      <c r="M95" s="212"/>
      <c r="N95" s="212"/>
      <c r="O95" s="212"/>
      <c r="P95" s="212"/>
      <c r="Q95" s="212"/>
      <c r="R95" s="212"/>
      <c r="S95" s="212"/>
      <c r="T95" s="212"/>
      <c r="U95" s="212"/>
      <c r="V95" s="212"/>
    </row>
    <row r="96" spans="2:22">
      <c r="B96" s="212"/>
      <c r="C96" s="212"/>
      <c r="D96" s="212"/>
      <c r="E96" s="212"/>
      <c r="F96" s="212"/>
      <c r="G96" s="212"/>
      <c r="H96" s="212"/>
      <c r="I96" s="212"/>
      <c r="J96" s="212"/>
      <c r="K96" s="212"/>
      <c r="L96" s="212"/>
      <c r="M96" s="212"/>
      <c r="N96" s="212"/>
      <c r="O96" s="212"/>
      <c r="P96" s="212"/>
      <c r="Q96" s="212"/>
      <c r="R96" s="212"/>
      <c r="S96" s="212"/>
      <c r="T96" s="212"/>
      <c r="U96" s="212"/>
      <c r="V96" s="212"/>
    </row>
    <row r="97" spans="2:22">
      <c r="B97" s="212"/>
      <c r="C97" s="212"/>
      <c r="D97" s="212"/>
      <c r="E97" s="212"/>
      <c r="F97" s="212"/>
      <c r="G97" s="212"/>
      <c r="H97" s="212"/>
      <c r="I97" s="212"/>
      <c r="J97" s="212"/>
      <c r="K97" s="212"/>
      <c r="L97" s="212"/>
      <c r="M97" s="212"/>
      <c r="N97" s="212"/>
      <c r="O97" s="212"/>
      <c r="P97" s="212"/>
      <c r="Q97" s="212"/>
      <c r="R97" s="212"/>
      <c r="S97" s="212"/>
      <c r="T97" s="212"/>
      <c r="U97" s="212"/>
      <c r="V97" s="212"/>
    </row>
    <row r="98" spans="2:22">
      <c r="B98" s="212"/>
      <c r="C98" s="212"/>
      <c r="D98" s="212"/>
      <c r="E98" s="212"/>
      <c r="F98" s="212"/>
      <c r="G98" s="212"/>
      <c r="H98" s="212"/>
      <c r="I98" s="212"/>
      <c r="J98" s="212"/>
      <c r="K98" s="212"/>
      <c r="L98" s="212"/>
      <c r="M98" s="212"/>
      <c r="N98" s="212"/>
      <c r="O98" s="212"/>
      <c r="P98" s="212"/>
      <c r="Q98" s="212"/>
      <c r="R98" s="212"/>
      <c r="S98" s="212"/>
      <c r="T98" s="212"/>
      <c r="U98" s="212"/>
      <c r="V98" s="212"/>
    </row>
    <row r="99" spans="2:22">
      <c r="B99" s="212"/>
      <c r="C99" s="212"/>
      <c r="D99" s="212"/>
      <c r="E99" s="212"/>
      <c r="F99" s="212"/>
      <c r="G99" s="212"/>
      <c r="H99" s="212"/>
      <c r="I99" s="212"/>
      <c r="J99" s="212"/>
      <c r="K99" s="212"/>
      <c r="L99" s="212"/>
      <c r="M99" s="212"/>
      <c r="N99" s="212"/>
      <c r="O99" s="212"/>
      <c r="P99" s="212"/>
      <c r="Q99" s="212"/>
      <c r="R99" s="212"/>
      <c r="S99" s="212"/>
      <c r="T99" s="212"/>
      <c r="U99" s="212"/>
      <c r="V99" s="212"/>
    </row>
    <row r="100" spans="2:22">
      <c r="B100" s="212"/>
      <c r="C100" s="212"/>
      <c r="D100" s="212"/>
      <c r="E100" s="212"/>
      <c r="F100" s="212"/>
      <c r="G100" s="212"/>
      <c r="H100" s="212"/>
      <c r="I100" s="212"/>
      <c r="J100" s="212"/>
      <c r="K100" s="212"/>
      <c r="L100" s="212"/>
      <c r="M100" s="212"/>
      <c r="N100" s="212"/>
      <c r="O100" s="212"/>
      <c r="P100" s="212"/>
      <c r="Q100" s="212"/>
      <c r="R100" s="212"/>
      <c r="S100" s="212"/>
      <c r="T100" s="212"/>
      <c r="U100" s="212"/>
      <c r="V100" s="212"/>
    </row>
    <row r="101" spans="2:22">
      <c r="B101" s="212"/>
      <c r="C101" s="212"/>
      <c r="D101" s="212"/>
      <c r="E101" s="212"/>
      <c r="F101" s="212"/>
      <c r="G101" s="212"/>
      <c r="H101" s="212"/>
      <c r="I101" s="212"/>
      <c r="J101" s="212"/>
      <c r="K101" s="212"/>
      <c r="L101" s="212"/>
      <c r="M101" s="212"/>
      <c r="N101" s="212"/>
      <c r="O101" s="212"/>
      <c r="P101" s="212"/>
      <c r="Q101" s="212"/>
      <c r="R101" s="212"/>
      <c r="S101" s="212"/>
      <c r="T101" s="212"/>
      <c r="U101" s="212"/>
      <c r="V101" s="212"/>
    </row>
    <row r="102" spans="2:22">
      <c r="B102" s="212"/>
      <c r="C102" s="212"/>
      <c r="D102" s="212"/>
      <c r="E102" s="212"/>
      <c r="F102" s="212"/>
      <c r="G102" s="212"/>
      <c r="H102" s="212"/>
      <c r="I102" s="212"/>
      <c r="J102" s="212"/>
      <c r="K102" s="212"/>
      <c r="L102" s="212"/>
      <c r="M102" s="212"/>
      <c r="N102" s="212"/>
      <c r="O102" s="212"/>
      <c r="P102" s="212"/>
      <c r="Q102" s="212"/>
      <c r="R102" s="212"/>
      <c r="S102" s="212"/>
      <c r="T102" s="212"/>
      <c r="U102" s="212"/>
      <c r="V102" s="212"/>
    </row>
    <row r="103" spans="2:22">
      <c r="B103" s="212"/>
      <c r="C103" s="212"/>
      <c r="D103" s="212"/>
      <c r="E103" s="212"/>
      <c r="F103" s="212"/>
      <c r="G103" s="212"/>
      <c r="H103" s="212"/>
      <c r="I103" s="212"/>
      <c r="J103" s="212"/>
      <c r="K103" s="212"/>
      <c r="L103" s="212"/>
      <c r="M103" s="212"/>
      <c r="N103" s="212"/>
      <c r="O103" s="212"/>
      <c r="P103" s="212"/>
      <c r="Q103" s="212"/>
      <c r="R103" s="212"/>
      <c r="S103" s="212"/>
      <c r="T103" s="212"/>
      <c r="U103" s="212"/>
      <c r="V103" s="212"/>
    </row>
    <row r="104" spans="2:22">
      <c r="B104" s="212"/>
      <c r="C104" s="212"/>
      <c r="D104" s="212"/>
      <c r="E104" s="212"/>
      <c r="F104" s="212"/>
      <c r="G104" s="212"/>
      <c r="H104" s="212"/>
      <c r="I104" s="212"/>
      <c r="J104" s="212"/>
      <c r="K104" s="212"/>
      <c r="L104" s="212"/>
      <c r="M104" s="212"/>
      <c r="N104" s="212"/>
      <c r="O104" s="212"/>
      <c r="P104" s="212"/>
      <c r="Q104" s="212"/>
      <c r="R104" s="212"/>
      <c r="S104" s="212"/>
      <c r="T104" s="212"/>
      <c r="U104" s="212"/>
      <c r="V104" s="212"/>
    </row>
    <row r="105" spans="2:22">
      <c r="B105" s="212"/>
      <c r="C105" s="212"/>
      <c r="D105" s="212"/>
      <c r="E105" s="212"/>
      <c r="F105" s="212"/>
      <c r="G105" s="212"/>
      <c r="H105" s="212"/>
      <c r="I105" s="212"/>
      <c r="J105" s="212"/>
      <c r="K105" s="212"/>
      <c r="L105" s="212"/>
      <c r="M105" s="212"/>
      <c r="N105" s="212"/>
      <c r="O105" s="212"/>
      <c r="P105" s="212"/>
      <c r="Q105" s="212"/>
      <c r="R105" s="212"/>
      <c r="S105" s="212"/>
      <c r="T105" s="212"/>
      <c r="U105" s="212"/>
      <c r="V105" s="212"/>
    </row>
    <row r="106" spans="2:22">
      <c r="B106" s="212"/>
      <c r="C106" s="212"/>
      <c r="D106" s="212"/>
      <c r="E106" s="212"/>
      <c r="F106" s="212"/>
      <c r="G106" s="212"/>
      <c r="H106" s="212"/>
      <c r="I106" s="212"/>
      <c r="J106" s="212"/>
      <c r="K106" s="212"/>
      <c r="L106" s="212"/>
      <c r="M106" s="212"/>
      <c r="N106" s="212"/>
      <c r="O106" s="212"/>
      <c r="P106" s="212"/>
      <c r="Q106" s="212"/>
      <c r="R106" s="212"/>
      <c r="S106" s="212"/>
      <c r="T106" s="212"/>
      <c r="U106" s="212"/>
      <c r="V106" s="212"/>
    </row>
    <row r="107" spans="2:22">
      <c r="B107" s="212"/>
      <c r="C107" s="212"/>
      <c r="D107" s="212"/>
      <c r="E107" s="212"/>
      <c r="F107" s="212"/>
      <c r="G107" s="212"/>
      <c r="H107" s="212"/>
      <c r="I107" s="212"/>
      <c r="J107" s="212"/>
      <c r="K107" s="212"/>
      <c r="L107" s="212"/>
      <c r="M107" s="212"/>
      <c r="N107" s="212"/>
      <c r="O107" s="212"/>
      <c r="P107" s="212"/>
      <c r="Q107" s="212"/>
      <c r="R107" s="212"/>
      <c r="S107" s="212"/>
      <c r="T107" s="212"/>
      <c r="U107" s="212"/>
      <c r="V107" s="212"/>
    </row>
    <row r="108" spans="2:22">
      <c r="B108" s="212"/>
      <c r="C108" s="212"/>
      <c r="D108" s="212"/>
      <c r="E108" s="212"/>
      <c r="F108" s="212"/>
      <c r="G108" s="212"/>
      <c r="H108" s="212"/>
      <c r="I108" s="212"/>
      <c r="J108" s="212"/>
      <c r="K108" s="212"/>
      <c r="L108" s="212"/>
      <c r="M108" s="212"/>
      <c r="N108" s="212"/>
      <c r="O108" s="212"/>
      <c r="P108" s="212"/>
      <c r="Q108" s="212"/>
      <c r="R108" s="212"/>
      <c r="S108" s="212"/>
      <c r="T108" s="212"/>
      <c r="U108" s="212"/>
      <c r="V108" s="212"/>
    </row>
    <row r="109" spans="2:22">
      <c r="B109" s="212"/>
      <c r="C109" s="212"/>
      <c r="D109" s="212"/>
      <c r="E109" s="212"/>
      <c r="F109" s="212"/>
      <c r="G109" s="212"/>
      <c r="H109" s="212"/>
      <c r="I109" s="212"/>
      <c r="J109" s="212"/>
      <c r="K109" s="212"/>
      <c r="L109" s="212"/>
      <c r="M109" s="212"/>
      <c r="N109" s="212"/>
      <c r="O109" s="212"/>
      <c r="P109" s="212"/>
      <c r="Q109" s="212"/>
      <c r="R109" s="212"/>
      <c r="S109" s="212"/>
      <c r="T109" s="212"/>
      <c r="U109" s="212"/>
      <c r="V109" s="212"/>
    </row>
    <row r="110" spans="2:22">
      <c r="B110" s="212"/>
      <c r="C110" s="212"/>
      <c r="D110" s="212"/>
      <c r="E110" s="212"/>
      <c r="F110" s="212"/>
      <c r="G110" s="212"/>
      <c r="H110" s="212"/>
      <c r="I110" s="212"/>
      <c r="J110" s="212"/>
      <c r="K110" s="212"/>
      <c r="L110" s="212"/>
      <c r="M110" s="212"/>
      <c r="N110" s="212"/>
      <c r="O110" s="212"/>
      <c r="P110" s="212"/>
      <c r="Q110" s="212"/>
      <c r="R110" s="212"/>
      <c r="S110" s="212"/>
      <c r="T110" s="212"/>
      <c r="U110" s="212"/>
      <c r="V110" s="212"/>
    </row>
    <row r="111" spans="2:22">
      <c r="B111" s="212"/>
      <c r="C111" s="212"/>
      <c r="D111" s="212"/>
      <c r="E111" s="212"/>
      <c r="F111" s="212"/>
      <c r="G111" s="212"/>
      <c r="H111" s="212"/>
      <c r="I111" s="212"/>
      <c r="J111" s="212"/>
      <c r="K111" s="212"/>
      <c r="L111" s="212"/>
      <c r="M111" s="212"/>
      <c r="N111" s="212"/>
      <c r="O111" s="212"/>
      <c r="P111" s="212"/>
      <c r="Q111" s="212"/>
      <c r="R111" s="212"/>
      <c r="S111" s="212"/>
      <c r="T111" s="212"/>
      <c r="U111" s="212"/>
      <c r="V111" s="212"/>
    </row>
    <row r="112" spans="2:22">
      <c r="B112" s="212"/>
      <c r="C112" s="212"/>
      <c r="D112" s="212"/>
      <c r="E112" s="212"/>
      <c r="F112" s="212"/>
      <c r="G112" s="212"/>
      <c r="H112" s="212"/>
      <c r="I112" s="212"/>
      <c r="J112" s="212"/>
      <c r="K112" s="212"/>
      <c r="L112" s="212"/>
      <c r="M112" s="212"/>
      <c r="N112" s="212"/>
      <c r="O112" s="212"/>
      <c r="P112" s="212"/>
      <c r="Q112" s="212"/>
      <c r="R112" s="212"/>
      <c r="S112" s="212"/>
      <c r="T112" s="212"/>
      <c r="U112" s="212"/>
      <c r="V112" s="212"/>
    </row>
    <row r="113" spans="2:22">
      <c r="B113" s="212"/>
      <c r="C113" s="212"/>
      <c r="D113" s="212"/>
      <c r="E113" s="212"/>
      <c r="F113" s="212"/>
      <c r="G113" s="212"/>
      <c r="H113" s="212"/>
      <c r="I113" s="212"/>
      <c r="J113" s="212"/>
      <c r="K113" s="212"/>
      <c r="L113" s="212"/>
      <c r="M113" s="212"/>
      <c r="N113" s="212"/>
      <c r="O113" s="212"/>
      <c r="P113" s="212"/>
      <c r="Q113" s="212"/>
      <c r="R113" s="212"/>
      <c r="S113" s="212"/>
      <c r="T113" s="212"/>
      <c r="U113" s="212"/>
      <c r="V113" s="212"/>
    </row>
    <row r="114" spans="2:22">
      <c r="B114" s="212"/>
      <c r="C114" s="212"/>
      <c r="D114" s="212"/>
      <c r="E114" s="212"/>
      <c r="F114" s="212"/>
      <c r="G114" s="212"/>
      <c r="H114" s="212"/>
      <c r="I114" s="212"/>
      <c r="J114" s="212"/>
      <c r="K114" s="212"/>
      <c r="L114" s="212"/>
      <c r="M114" s="212"/>
      <c r="N114" s="212"/>
      <c r="O114" s="212"/>
      <c r="P114" s="212"/>
      <c r="Q114" s="212"/>
      <c r="R114" s="212"/>
      <c r="S114" s="212"/>
      <c r="T114" s="212"/>
      <c r="U114" s="212"/>
      <c r="V114" s="212"/>
    </row>
    <row r="115" spans="2:22">
      <c r="B115" s="212"/>
      <c r="C115" s="212"/>
      <c r="D115" s="212"/>
      <c r="E115" s="212"/>
      <c r="F115" s="212"/>
      <c r="G115" s="212"/>
      <c r="H115" s="212"/>
      <c r="I115" s="212"/>
      <c r="J115" s="212"/>
      <c r="K115" s="212"/>
      <c r="L115" s="212"/>
      <c r="M115" s="212"/>
      <c r="N115" s="212"/>
      <c r="O115" s="212"/>
      <c r="P115" s="212"/>
      <c r="Q115" s="212"/>
      <c r="R115" s="212"/>
      <c r="S115" s="212"/>
      <c r="T115" s="212"/>
      <c r="U115" s="212"/>
      <c r="V115" s="212"/>
    </row>
    <row r="116" spans="2:22">
      <c r="B116" s="212"/>
      <c r="C116" s="212"/>
      <c r="D116" s="212"/>
      <c r="E116" s="212"/>
      <c r="F116" s="212"/>
      <c r="G116" s="212"/>
      <c r="H116" s="212"/>
      <c r="I116" s="212"/>
      <c r="J116" s="212"/>
      <c r="K116" s="212"/>
      <c r="L116" s="212"/>
      <c r="M116" s="212"/>
      <c r="N116" s="212"/>
      <c r="O116" s="212"/>
      <c r="P116" s="212"/>
      <c r="Q116" s="212"/>
      <c r="R116" s="212"/>
      <c r="S116" s="212"/>
      <c r="T116" s="212"/>
      <c r="U116" s="212"/>
      <c r="V116" s="212"/>
    </row>
    <row r="117" spans="2:22">
      <c r="B117" s="212"/>
      <c r="C117" s="212"/>
      <c r="D117" s="212"/>
      <c r="E117" s="212"/>
      <c r="F117" s="212"/>
      <c r="G117" s="212"/>
      <c r="H117" s="212"/>
      <c r="I117" s="212"/>
      <c r="J117" s="212"/>
      <c r="K117" s="212"/>
      <c r="L117" s="212"/>
      <c r="M117" s="212"/>
      <c r="N117" s="212"/>
      <c r="O117" s="212"/>
      <c r="P117" s="212"/>
      <c r="Q117" s="212"/>
      <c r="R117" s="212"/>
      <c r="S117" s="212"/>
      <c r="T117" s="212"/>
      <c r="U117" s="212"/>
      <c r="V117" s="212"/>
    </row>
    <row r="118" spans="2:22">
      <c r="B118" s="212"/>
      <c r="C118" s="212"/>
      <c r="D118" s="212"/>
      <c r="E118" s="212"/>
      <c r="F118" s="212"/>
      <c r="G118" s="212"/>
      <c r="H118" s="212"/>
      <c r="I118" s="212"/>
      <c r="J118" s="212"/>
      <c r="K118" s="212"/>
      <c r="L118" s="212"/>
      <c r="M118" s="212"/>
      <c r="N118" s="212"/>
      <c r="O118" s="212"/>
      <c r="P118" s="212"/>
      <c r="Q118" s="212"/>
      <c r="R118" s="212"/>
      <c r="S118" s="212"/>
      <c r="T118" s="212"/>
      <c r="U118" s="212"/>
      <c r="V118" s="212"/>
    </row>
    <row r="119" spans="2:22">
      <c r="B119" s="212"/>
      <c r="C119" s="212"/>
      <c r="D119" s="212"/>
      <c r="E119" s="212"/>
      <c r="F119" s="212"/>
      <c r="G119" s="212"/>
      <c r="H119" s="212"/>
      <c r="I119" s="212"/>
      <c r="J119" s="212"/>
      <c r="K119" s="212"/>
      <c r="L119" s="212"/>
      <c r="M119" s="212"/>
      <c r="N119" s="212"/>
      <c r="O119" s="212"/>
      <c r="P119" s="212"/>
      <c r="Q119" s="212"/>
      <c r="R119" s="212"/>
      <c r="S119" s="212"/>
      <c r="T119" s="212"/>
      <c r="U119" s="212"/>
      <c r="V119" s="212"/>
    </row>
    <row r="120" spans="2:22">
      <c r="B120" s="212"/>
      <c r="C120" s="212"/>
      <c r="D120" s="212"/>
      <c r="E120" s="212"/>
      <c r="F120" s="212"/>
      <c r="G120" s="212"/>
      <c r="H120" s="212"/>
      <c r="I120" s="212"/>
      <c r="J120" s="212"/>
      <c r="K120" s="212"/>
      <c r="L120" s="212"/>
      <c r="M120" s="212"/>
      <c r="N120" s="212"/>
      <c r="O120" s="212"/>
      <c r="P120" s="212"/>
      <c r="Q120" s="212"/>
      <c r="R120" s="212"/>
      <c r="S120" s="212"/>
      <c r="T120" s="212"/>
      <c r="U120" s="212"/>
      <c r="V120" s="212"/>
    </row>
    <row r="121" spans="2:22">
      <c r="B121" s="212"/>
      <c r="C121" s="212"/>
      <c r="D121" s="212"/>
      <c r="E121" s="212"/>
      <c r="F121" s="212"/>
      <c r="G121" s="212"/>
      <c r="H121" s="212"/>
      <c r="I121" s="212"/>
      <c r="J121" s="212"/>
      <c r="K121" s="212"/>
      <c r="L121" s="212"/>
      <c r="M121" s="212"/>
      <c r="N121" s="212"/>
      <c r="O121" s="212"/>
      <c r="P121" s="212"/>
      <c r="Q121" s="212"/>
      <c r="R121" s="212"/>
      <c r="S121" s="212"/>
      <c r="T121" s="212"/>
      <c r="U121" s="212"/>
      <c r="V121" s="212"/>
    </row>
    <row r="122" spans="2:22">
      <c r="B122" s="212"/>
      <c r="C122" s="212"/>
      <c r="D122" s="212"/>
      <c r="E122" s="212"/>
      <c r="F122" s="212"/>
      <c r="G122" s="212"/>
      <c r="H122" s="212"/>
      <c r="I122" s="212"/>
      <c r="J122" s="212"/>
      <c r="K122" s="212"/>
      <c r="L122" s="212"/>
      <c r="M122" s="212"/>
      <c r="N122" s="212"/>
      <c r="O122" s="212"/>
      <c r="P122" s="212"/>
      <c r="Q122" s="212"/>
      <c r="R122" s="212"/>
      <c r="S122" s="212"/>
      <c r="T122" s="212"/>
      <c r="U122" s="212"/>
      <c r="V122" s="212"/>
    </row>
    <row r="123" spans="2:22">
      <c r="B123" s="212"/>
      <c r="C123" s="212"/>
      <c r="D123" s="212"/>
      <c r="E123" s="212"/>
      <c r="F123" s="212"/>
      <c r="G123" s="212"/>
      <c r="H123" s="212"/>
      <c r="I123" s="212"/>
      <c r="J123" s="212"/>
      <c r="K123" s="212"/>
      <c r="L123" s="212"/>
      <c r="M123" s="212"/>
      <c r="N123" s="212"/>
      <c r="O123" s="212"/>
      <c r="P123" s="212"/>
      <c r="Q123" s="212"/>
      <c r="R123" s="212"/>
      <c r="S123" s="212"/>
      <c r="T123" s="212"/>
      <c r="U123" s="212"/>
      <c r="V123" s="212"/>
    </row>
    <row r="124" spans="2:22">
      <c r="B124" s="212"/>
      <c r="C124" s="212"/>
      <c r="D124" s="212"/>
      <c r="E124" s="212"/>
      <c r="F124" s="212"/>
      <c r="G124" s="212"/>
      <c r="H124" s="212"/>
      <c r="I124" s="212"/>
      <c r="J124" s="212"/>
      <c r="K124" s="212"/>
      <c r="L124" s="212"/>
      <c r="M124" s="212"/>
      <c r="N124" s="212"/>
      <c r="O124" s="212"/>
      <c r="P124" s="212"/>
      <c r="Q124" s="212"/>
      <c r="R124" s="212"/>
      <c r="S124" s="212"/>
      <c r="T124" s="212"/>
      <c r="U124" s="212"/>
      <c r="V124" s="212"/>
    </row>
  </sheetData>
  <sheetProtection algorithmName="SHA-512" hashValue="xKGJZRyEMNG/9kz1awiCOiSCWluoJa9CiPJNT89jU3jge1JPqtu9uBi66pocPJQmdTUM/Ai4Xrwzu6cnD6ja8g==" saltValue="eSB6gp81Z+S1g0HzuVCe2w==" spinCount="100000" sheet="1" objects="1" scenarios="1"/>
  <mergeCells count="62">
    <mergeCell ref="B79:I79"/>
    <mergeCell ref="B70:F70"/>
    <mergeCell ref="B69:F69"/>
    <mergeCell ref="B75:F75"/>
    <mergeCell ref="B71:F71"/>
    <mergeCell ref="B67:F67"/>
    <mergeCell ref="J79:K79"/>
    <mergeCell ref="B76:F76"/>
    <mergeCell ref="B73:F73"/>
    <mergeCell ref="B74:F74"/>
    <mergeCell ref="B30:J30"/>
    <mergeCell ref="B35:J35"/>
    <mergeCell ref="B72:F72"/>
    <mergeCell ref="B63:F63"/>
    <mergeCell ref="B47:F47"/>
    <mergeCell ref="B68:F68"/>
    <mergeCell ref="B46:F46"/>
    <mergeCell ref="J47:N47"/>
    <mergeCell ref="B62:F62"/>
    <mergeCell ref="B53:E53"/>
    <mergeCell ref="B55:F55"/>
    <mergeCell ref="B48:F48"/>
    <mergeCell ref="B61:F61"/>
    <mergeCell ref="B56:F56"/>
    <mergeCell ref="B49:F49"/>
    <mergeCell ref="B50:F50"/>
    <mergeCell ref="B51:F51"/>
    <mergeCell ref="B54:F54"/>
    <mergeCell ref="B66:F66"/>
    <mergeCell ref="B58:F58"/>
    <mergeCell ref="B59:F59"/>
    <mergeCell ref="B60:F60"/>
    <mergeCell ref="B57:F57"/>
    <mergeCell ref="B64:F64"/>
    <mergeCell ref="B65:F65"/>
    <mergeCell ref="J46:N46"/>
    <mergeCell ref="B16:D16"/>
    <mergeCell ref="E16:H16"/>
    <mergeCell ref="B40:R40"/>
    <mergeCell ref="J44:N44"/>
    <mergeCell ref="B22:D22"/>
    <mergeCell ref="B45:F45"/>
    <mergeCell ref="D24:J24"/>
    <mergeCell ref="B42:E42"/>
    <mergeCell ref="B43:F43"/>
    <mergeCell ref="J45:N45"/>
    <mergeCell ref="I16:K16"/>
    <mergeCell ref="I18:L18"/>
    <mergeCell ref="B21:D21"/>
    <mergeCell ref="B18:E18"/>
    <mergeCell ref="B19:D19"/>
    <mergeCell ref="J42:M42"/>
    <mergeCell ref="B44:F44"/>
    <mergeCell ref="B20:D20"/>
    <mergeCell ref="O3:R3"/>
    <mergeCell ref="O5:R5"/>
    <mergeCell ref="O7:R7"/>
    <mergeCell ref="I19:J19"/>
    <mergeCell ref="J3:M3"/>
    <mergeCell ref="J5:M5"/>
    <mergeCell ref="J7:M7"/>
    <mergeCell ref="C14:N14"/>
  </mergeCells>
  <phoneticPr fontId="6" type="noConversion"/>
  <conditionalFormatting sqref="B8:H8">
    <cfRule type="expression" dxfId="4" priority="3" stopIfTrue="1">
      <formula>precip_B+precip_A&gt;0.9</formula>
    </cfRule>
    <cfRule type="expression" dxfId="3" priority="4" stopIfTrue="1">
      <formula>precip_B+precip_A&lt;1</formula>
    </cfRule>
  </conditionalFormatting>
  <dataValidations disablePrompts="1" count="1">
    <dataValidation type="whole" allowBlank="1" showInputMessage="1" showErrorMessage="1" error="Concentrazione troppo elevata" sqref="C11">
      <formula1>1</formula1>
      <formula2>1000</formula2>
    </dataValidation>
  </dataValidations>
  <hyperlinks>
    <hyperlink ref="J7:M7" location="'Test precipitazioni'!A1" display="Stock NS solubility test"/>
    <hyperlink ref="J5:M5" location="Calcolo!F11" display="Calculation sheet"/>
    <hyperlink ref="O5:R5" location="'Acidi &amp; concimi'!A5" display="Fertilizer and acid database"/>
    <hyperlink ref="J3:M3" location="Istruzioni!A1" display="Quick start guide"/>
    <hyperlink ref="O7:R7" location="Parametri!A1" display="Input"/>
    <hyperlink ref="O3:R3" location="Convertitore!A1" display="Unit converter (ppm&gt; mM)"/>
  </hyperlinks>
  <pageMargins left="0.51" right="0.43" top="0.7" bottom="0.69" header="0.49" footer="0.5"/>
  <pageSetup paperSize="9" scale="43" orientation="portrait" horizontalDpi="4294967294" r:id="rId1"/>
  <headerFooter alignWithMargins="0">
    <oddHeader>&amp;C&amp;14&amp;F</oddHeader>
    <oddFooter>&amp;R&amp;12&amp;D</oddFooter>
  </headerFooter>
  <drawing r:id="rId2"/>
  <legacyDrawing r:id="rId3"/>
  <oleObjects>
    <mc:AlternateContent xmlns:mc="http://schemas.openxmlformats.org/markup-compatibility/2006">
      <mc:Choice Requires="x14">
        <oleObject progId="PBrush" shapeId="5124" r:id="rId4">
          <objectPr defaultSize="0" autoPict="0" r:id="rId5">
            <anchor moveWithCells="1">
              <from>
                <xdr:col>0</xdr:col>
                <xdr:colOff>19050</xdr:colOff>
                <xdr:row>0</xdr:row>
                <xdr:rowOff>6350</xdr:rowOff>
              </from>
              <to>
                <xdr:col>1</xdr:col>
                <xdr:colOff>488950</xdr:colOff>
                <xdr:row>1</xdr:row>
                <xdr:rowOff>419100</xdr:rowOff>
              </to>
            </anchor>
          </objectPr>
        </oleObject>
      </mc:Choice>
      <mc:Fallback>
        <oleObject progId="PBrush" shapeId="5124" r:id="rId4"/>
      </mc:Fallback>
    </mc:AlternateContent>
  </oleObjects>
  <mc:AlternateContent xmlns:mc="http://schemas.openxmlformats.org/markup-compatibility/2006">
    <mc:Choice Requires="x14">
      <controls>
        <mc:AlternateContent xmlns:mc="http://schemas.openxmlformats.org/markup-compatibility/2006">
          <mc:Choice Requires="x14">
            <control shapeId="5122" r:id="rId6" name="Button 2">
              <controlPr defaultSize="0" print="0" autoFill="0" autoPict="0" macro="[0]!Applica_NCS">
                <anchor moveWithCells="1" sizeWithCells="1">
                  <from>
                    <xdr:col>4</xdr:col>
                    <xdr:colOff>165100</xdr:colOff>
                    <xdr:row>8</xdr:row>
                    <xdr:rowOff>95250</xdr:rowOff>
                  </from>
                  <to>
                    <xdr:col>6</xdr:col>
                    <xdr:colOff>133350</xdr:colOff>
                    <xdr:row>11</xdr:row>
                    <xdr:rowOff>139700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9">
    <pageSetUpPr fitToPage="1"/>
  </sheetPr>
  <dimension ref="A1:W82"/>
  <sheetViews>
    <sheetView showRowColHeaders="0" zoomScale="87" zoomScaleNormal="87" workbookViewId="0">
      <pane ySplit="7" topLeftCell="A14" activePane="bottomLeft" state="frozen"/>
      <selection pane="bottomLeft" sqref="A1:P1"/>
    </sheetView>
  </sheetViews>
  <sheetFormatPr defaultColWidth="9" defaultRowHeight="12.5"/>
  <cols>
    <col min="1" max="1" width="10.08203125" style="13" customWidth="1"/>
    <col min="2" max="2" width="14.58203125" style="16" customWidth="1"/>
    <col min="3" max="3" width="12.5" style="16" customWidth="1"/>
    <col min="4" max="4" width="10" style="16" customWidth="1"/>
    <col min="5" max="5" width="17" style="427" customWidth="1"/>
    <col min="6" max="6" width="16.08203125" style="16" customWidth="1"/>
    <col min="7" max="7" width="9.75" style="16" customWidth="1"/>
    <col min="8" max="8" width="12.5" style="16" bestFit="1" customWidth="1"/>
    <col min="9" max="9" width="9.83203125" style="16" customWidth="1"/>
    <col min="10" max="16384" width="9" style="16"/>
  </cols>
  <sheetData>
    <row r="1" spans="1:22">
      <c r="B1" s="218"/>
      <c r="C1" s="218"/>
      <c r="D1" s="218"/>
      <c r="E1" s="419"/>
      <c r="F1" s="218"/>
      <c r="G1" s="218"/>
      <c r="H1" s="218"/>
      <c r="I1" s="218"/>
      <c r="J1" s="218"/>
      <c r="K1" s="218"/>
      <c r="L1" s="218"/>
      <c r="M1" s="218"/>
      <c r="N1" s="218"/>
      <c r="O1" s="218"/>
      <c r="P1" s="218"/>
      <c r="Q1" s="218"/>
      <c r="R1" s="218"/>
      <c r="S1" s="218"/>
      <c r="T1" s="218"/>
      <c r="U1" s="218"/>
      <c r="V1" s="218"/>
    </row>
    <row r="2" spans="1:22" ht="23">
      <c r="B2" s="131" t="s">
        <v>156</v>
      </c>
      <c r="C2" s="395"/>
      <c r="D2" s="218"/>
      <c r="E2" s="419"/>
      <c r="F2" s="218"/>
      <c r="G2" s="304"/>
      <c r="H2" s="304"/>
      <c r="I2" s="304"/>
      <c r="J2" s="304"/>
      <c r="K2" s="304"/>
      <c r="L2" s="304"/>
      <c r="M2" s="304"/>
      <c r="N2" s="304"/>
      <c r="O2" s="304"/>
      <c r="P2" s="304"/>
      <c r="Q2" s="218"/>
      <c r="R2" s="218"/>
      <c r="S2" s="218"/>
      <c r="T2" s="218"/>
      <c r="U2" s="218"/>
      <c r="V2" s="218"/>
    </row>
    <row r="3" spans="1:22" ht="15.5">
      <c r="B3" s="218"/>
      <c r="C3" s="218"/>
      <c r="D3" s="218"/>
      <c r="E3" s="419"/>
      <c r="F3" s="218"/>
      <c r="G3" s="218"/>
      <c r="H3" s="466" t="s">
        <v>73</v>
      </c>
      <c r="I3" s="467"/>
      <c r="J3" s="467"/>
      <c r="K3" s="468"/>
      <c r="L3" s="72"/>
      <c r="M3" s="466" t="s">
        <v>169</v>
      </c>
      <c r="N3" s="467"/>
      <c r="O3" s="467"/>
      <c r="P3" s="468"/>
      <c r="Q3" s="218"/>
      <c r="R3" s="218"/>
      <c r="S3" s="218"/>
      <c r="T3" s="218"/>
      <c r="U3" s="218"/>
      <c r="V3" s="218"/>
    </row>
    <row r="4" spans="1:22">
      <c r="B4" s="218"/>
      <c r="D4" s="218"/>
      <c r="E4" s="419"/>
      <c r="F4" s="218"/>
      <c r="G4" s="218"/>
      <c r="H4" s="72"/>
      <c r="I4" s="72"/>
      <c r="J4" s="72"/>
      <c r="K4" s="72"/>
      <c r="L4" s="72"/>
      <c r="M4" s="72"/>
      <c r="N4" s="72"/>
      <c r="O4" s="72"/>
      <c r="P4" s="72"/>
      <c r="Q4" s="218"/>
      <c r="R4" s="218"/>
      <c r="S4" s="218"/>
      <c r="T4" s="218"/>
      <c r="U4" s="218"/>
      <c r="V4" s="218"/>
    </row>
    <row r="5" spans="1:22" ht="15.5">
      <c r="B5" s="218"/>
      <c r="C5" s="218"/>
      <c r="D5" s="218"/>
      <c r="E5" s="419"/>
      <c r="F5" s="218"/>
      <c r="G5" s="218"/>
      <c r="H5" s="466" t="s">
        <v>181</v>
      </c>
      <c r="I5" s="467"/>
      <c r="J5" s="467"/>
      <c r="K5" s="468"/>
      <c r="L5" s="407"/>
      <c r="M5" s="466" t="s">
        <v>182</v>
      </c>
      <c r="N5" s="467"/>
      <c r="O5" s="467"/>
      <c r="P5" s="468"/>
      <c r="Q5" s="218"/>
      <c r="R5" s="218"/>
      <c r="S5" s="218"/>
      <c r="T5" s="218"/>
      <c r="U5" s="218"/>
      <c r="V5" s="218"/>
    </row>
    <row r="6" spans="1:22">
      <c r="B6" s="218"/>
      <c r="C6" s="218"/>
      <c r="D6" s="218"/>
      <c r="E6" s="419"/>
      <c r="F6" s="218"/>
      <c r="G6" s="218"/>
      <c r="H6" s="72"/>
      <c r="I6" s="72"/>
      <c r="J6" s="72"/>
      <c r="K6" s="72"/>
      <c r="L6" s="72"/>
      <c r="M6" s="72"/>
      <c r="N6" s="72"/>
      <c r="O6" s="72"/>
      <c r="P6" s="72"/>
      <c r="Q6" s="218"/>
      <c r="R6" s="218"/>
      <c r="S6" s="218"/>
      <c r="T6" s="218"/>
      <c r="U6" s="218"/>
      <c r="V6" s="218"/>
    </row>
    <row r="7" spans="1:22" ht="15.5">
      <c r="B7" s="218"/>
      <c r="C7" s="218"/>
      <c r="D7" s="218"/>
      <c r="E7" s="419"/>
      <c r="F7" s="218"/>
      <c r="G7" s="218"/>
      <c r="H7" s="466" t="s">
        <v>183</v>
      </c>
      <c r="I7" s="467"/>
      <c r="J7" s="467"/>
      <c r="K7" s="468"/>
      <c r="L7" s="72"/>
      <c r="M7" s="466" t="s">
        <v>185</v>
      </c>
      <c r="N7" s="467"/>
      <c r="O7" s="467"/>
      <c r="P7" s="468"/>
      <c r="Q7" s="218"/>
      <c r="R7" s="218"/>
      <c r="S7" s="218"/>
      <c r="T7" s="218"/>
      <c r="U7" s="218"/>
      <c r="V7" s="218"/>
    </row>
    <row r="8" spans="1:22">
      <c r="B8" s="218"/>
      <c r="C8" s="218"/>
      <c r="D8" s="218"/>
      <c r="E8" s="419"/>
      <c r="F8" s="218"/>
      <c r="G8" s="218"/>
      <c r="H8" s="218"/>
      <c r="I8" s="218"/>
      <c r="J8" s="218"/>
      <c r="K8" s="218"/>
      <c r="L8" s="218"/>
      <c r="M8" s="218"/>
      <c r="N8" s="218"/>
      <c r="O8" s="218"/>
      <c r="P8" s="218"/>
      <c r="Q8" s="218"/>
      <c r="R8" s="218"/>
      <c r="S8" s="218"/>
      <c r="T8" s="218"/>
      <c r="U8" s="218"/>
      <c r="V8" s="218"/>
    </row>
    <row r="9" spans="1:22">
      <c r="B9" s="218"/>
      <c r="C9" s="218"/>
      <c r="D9" s="218"/>
      <c r="E9" s="419"/>
      <c r="F9" s="218"/>
      <c r="G9" s="218"/>
      <c r="H9" s="218"/>
      <c r="I9" s="218"/>
      <c r="J9" s="218"/>
      <c r="K9" s="218"/>
      <c r="L9" s="218"/>
      <c r="M9" s="218"/>
      <c r="N9" s="218"/>
      <c r="O9" s="218"/>
      <c r="P9" s="218"/>
      <c r="Q9" s="218"/>
      <c r="R9" s="218"/>
      <c r="S9" s="218"/>
      <c r="T9" s="218"/>
      <c r="U9" s="218"/>
      <c r="V9" s="218"/>
    </row>
    <row r="10" spans="1:22" ht="13">
      <c r="B10" s="396" t="s">
        <v>157</v>
      </c>
      <c r="C10" s="218"/>
      <c r="D10" s="218"/>
      <c r="E10" s="419"/>
      <c r="F10" s="218"/>
      <c r="G10" s="218"/>
      <c r="H10" s="218"/>
      <c r="I10" s="218"/>
      <c r="J10" s="218"/>
      <c r="K10" s="218"/>
      <c r="L10" s="218"/>
      <c r="M10" s="218"/>
      <c r="N10" s="218"/>
      <c r="O10" s="218"/>
      <c r="P10" s="218"/>
      <c r="Q10" s="218"/>
      <c r="R10" s="218"/>
      <c r="S10" s="218"/>
      <c r="T10" s="218"/>
      <c r="U10" s="218"/>
      <c r="V10" s="218"/>
    </row>
    <row r="11" spans="1:22" ht="17">
      <c r="B11" s="446" t="s">
        <v>346</v>
      </c>
      <c r="C11" s="446" t="s">
        <v>175</v>
      </c>
      <c r="D11" s="446" t="s">
        <v>176</v>
      </c>
      <c r="E11" s="447" t="s">
        <v>7</v>
      </c>
      <c r="F11" s="446" t="s">
        <v>8</v>
      </c>
      <c r="G11" s="446" t="s">
        <v>9</v>
      </c>
      <c r="H11" s="446" t="s">
        <v>10</v>
      </c>
      <c r="I11" s="446" t="s">
        <v>345</v>
      </c>
      <c r="J11" s="397" t="s">
        <v>12</v>
      </c>
      <c r="K11" s="397" t="s">
        <v>13</v>
      </c>
      <c r="L11" s="397" t="s">
        <v>14</v>
      </c>
      <c r="M11" s="397" t="s">
        <v>15</v>
      </c>
      <c r="N11" s="397" t="s">
        <v>16</v>
      </c>
      <c r="O11" s="397" t="s">
        <v>17</v>
      </c>
      <c r="P11" s="397" t="s">
        <v>18</v>
      </c>
      <c r="Q11" s="218"/>
      <c r="R11" s="218"/>
      <c r="S11" s="218"/>
      <c r="T11" s="218"/>
      <c r="U11" s="218"/>
      <c r="V11" s="218"/>
    </row>
    <row r="12" spans="1:22" ht="13">
      <c r="A12" s="398" t="s">
        <v>159</v>
      </c>
      <c r="B12" s="399">
        <f>(SUM(Calcolo!G29:G31)+Calcolo!G34+(Stampa!$G$47*'Acidi &amp; concimi'!AI33*1000000/(Parametri!$I$27*Parametri!$I$28))+SUM(Calcolo!G53:G55)+Calcolo!G71)*(Parametri!$I$27)/1000+Parametri!D18/1000</f>
        <v>2.120439320435302</v>
      </c>
      <c r="C12" s="399">
        <f>(SUM(Calcolo!H29:H31)+Calcolo!H34+(Stampa!$G$47*'Acidi &amp; concimi'!AJ33*1000000/(Parametri!$I$27*Parametri!$I$28))+SUM(Calcolo!H53:H55)+Calcolo!H71)*(Parametri!$I$27)/1000+Parametri!E18/1000</f>
        <v>0.2</v>
      </c>
      <c r="D12" s="399">
        <f>(SUM(Calcolo!I29:I31)+Calcolo!I34+(Stampa!$G$47*'Acidi &amp; concimi'!AK33*1000000/(Parametri!$I$27*Parametri!$I$28))+SUM(Calcolo!I53:I55)+Calcolo!I71)*(Parametri!$I$27)/1000+Parametri!F18/1000</f>
        <v>0</v>
      </c>
      <c r="E12" s="421">
        <f>(SUM(Calcolo!J29:J31)+Calcolo!J34+(Stampa!$G$47*'Acidi &amp; concimi'!AL33*1000000/(Parametri!$I$27*Parametri!$I$28))+SUM(Calcolo!J53:J55)+Calcolo!J71)*(Parametri!$I$27)/1000+Parametri!G18/1000</f>
        <v>0.32024565247812659</v>
      </c>
      <c r="F12" s="399">
        <f>(SUM(Calcolo!K29:K31)+Calcolo!K34+(Stampa!$G$47*'Acidi &amp; concimi'!AM33*1000000/(Parametri!$I$27*Parametri!$I$28))+SUM(Calcolo!K53:K55)+Calcolo!K71)*(Parametri!$I$27)/1000+Parametri!H18/1000</f>
        <v>0.8</v>
      </c>
      <c r="G12" s="399">
        <f>(SUM(Calcolo!L29:L31)+Calcolo!L34+(Stampa!$G$47*'Acidi &amp; concimi'!AN33*1000000/(Parametri!$I$27*Parametri!$I$28))+SUM(Calcolo!L53:L55)+Calcolo!L71)*(Parametri!$I$27)/1000+Parametri!I18/1000</f>
        <v>0</v>
      </c>
      <c r="H12" s="399">
        <f>(SUM(Calcolo!M29:M31)+Calcolo!M34+(Stampa!$G$47*'Acidi &amp; concimi'!AO33*1000000/(Parametri!$I$27*Parametri!$I$28))+SUM(Calcolo!M53:M55)+Calcolo!M71)*(Parametri!$I$27)/1000+Parametri!J18/1000</f>
        <v>0</v>
      </c>
      <c r="I12" s="399">
        <f>(SUM(Calcolo!N29:N31)+Calcolo!N34+(Stampa!$G$47*'Acidi &amp; concimi'!AP33*1000000/(Parametri!$I$27*Parametri!$I$28))+SUM(Calcolo!N53:N55)+Calcolo!N71)*(Parametri!$I$27)/1000+Parametri!K18/1000</f>
        <v>0</v>
      </c>
      <c r="J12" s="399">
        <f>(SUM(Calcolo!O29:O31)+Calcolo!O34+(Stampa!$G$47*'Acidi &amp; concimi'!AQ33*1000000/(Parametri!$I$27*Parametri!$I$28))+SUM(Calcolo!O53:O55)+Calcolo!O71)*(Parametri!$I$27)/1000+Parametri!L18/1000</f>
        <v>0</v>
      </c>
      <c r="K12" s="399">
        <f>(SUM(Calcolo!P29:P31)+Calcolo!P34+(Stampa!$G$47*'Acidi &amp; concimi'!AR33*1000000/(Parametri!$I$27*Parametri!$I$28))+SUM(Calcolo!P53:P55)+Calcolo!P71)*(Parametri!$I$27)/1000+Parametri!M18/1000</f>
        <v>3.0000000000000004</v>
      </c>
      <c r="L12" s="399">
        <f>(SUM(Calcolo!Q29:Q31)+Calcolo!Q34+(Stampa!$G$47*'Acidi &amp; concimi'!AS33*1000000/(Parametri!$I$27*Parametri!$I$28))+SUM(Calcolo!Q53:Q55)+Calcolo!Q71)*(Parametri!$I$27)/1000+Parametri!N18/1000</f>
        <v>0</v>
      </c>
      <c r="M12" s="399">
        <f>(SUM(Calcolo!R29:R31)+Calcolo!R34+(Stampa!$G$47*'Acidi &amp; concimi'!AT33*1000000/(Parametri!$I$27*Parametri!$I$28))+SUM(Calcolo!R53:R55)+Calcolo!R71)*(Parametri!$I$27)/1000+Parametri!O18/1000</f>
        <v>0</v>
      </c>
      <c r="N12" s="399">
        <f>(SUM(Calcolo!S29:S31)+Calcolo!S34+(Stampa!$G$47*'Acidi &amp; concimi'!AU33*1000000/(Parametri!$I$27*Parametri!$I$28))+SUM(Calcolo!S53:S55)+Calcolo!S71)*(Parametri!$I$27)/1000+Parametri!P18/1000</f>
        <v>0</v>
      </c>
      <c r="O12" s="399">
        <f>(SUM(Calcolo!T29:T31)+Calcolo!T34+(Stampa!$G$47*'Acidi &amp; concimi'!AV33*1000000/(Parametri!$I$27*Parametri!$I$28))+SUM(Calcolo!T53:T55)+Calcolo!T71)*(Parametri!$I$27)/1000+Parametri!Q18/1000</f>
        <v>0</v>
      </c>
      <c r="P12" s="399">
        <f>(SUM(Calcolo!U29:U31)+Calcolo!U34+(Stampa!$G$47*'Acidi &amp; concimi'!AW33*1000000/(Parametri!$I$27*Parametri!$I$28))+SUM(Calcolo!U53:U55)+Calcolo!U71)*(Parametri!$I$27)/1000+Parametri!R18/1000</f>
        <v>0</v>
      </c>
      <c r="Q12" s="218"/>
      <c r="R12" s="218"/>
      <c r="S12" s="218"/>
      <c r="T12" s="218"/>
      <c r="U12" s="218"/>
      <c r="V12" s="218"/>
    </row>
    <row r="13" spans="1:22" ht="13">
      <c r="A13" s="398" t="s">
        <v>160</v>
      </c>
      <c r="B13" s="409">
        <v>14</v>
      </c>
      <c r="C13" s="409">
        <v>14</v>
      </c>
      <c r="D13" s="409">
        <v>31</v>
      </c>
      <c r="E13" s="422">
        <v>39.1</v>
      </c>
      <c r="F13" s="409">
        <v>40.08</v>
      </c>
      <c r="G13" s="409">
        <v>24.312000000000001</v>
      </c>
      <c r="H13" s="409">
        <v>23</v>
      </c>
      <c r="I13" s="409">
        <v>32.1</v>
      </c>
      <c r="J13" s="409">
        <v>35.472999999999999</v>
      </c>
      <c r="K13" s="409">
        <v>55.9</v>
      </c>
      <c r="L13" s="409">
        <v>10.8</v>
      </c>
      <c r="M13" s="409">
        <v>63.5</v>
      </c>
      <c r="N13" s="409">
        <v>65.400000000000006</v>
      </c>
      <c r="O13" s="409">
        <v>54.9</v>
      </c>
      <c r="P13" s="400">
        <v>96</v>
      </c>
      <c r="Q13" s="218"/>
      <c r="R13" s="218"/>
      <c r="S13" s="218"/>
      <c r="T13" s="218"/>
      <c r="U13" s="218"/>
      <c r="V13" s="218"/>
    </row>
    <row r="14" spans="1:22" ht="13">
      <c r="A14" s="398"/>
      <c r="B14" s="399"/>
      <c r="C14" s="399"/>
      <c r="D14" s="399"/>
      <c r="E14" s="421"/>
      <c r="F14" s="399"/>
      <c r="G14" s="399"/>
      <c r="H14" s="399"/>
      <c r="I14" s="399"/>
      <c r="J14" s="399"/>
      <c r="K14" s="399"/>
      <c r="L14" s="399"/>
      <c r="M14" s="399"/>
      <c r="N14" s="399"/>
      <c r="O14" s="399"/>
      <c r="P14" s="399"/>
      <c r="Q14" s="218"/>
      <c r="R14" s="218"/>
      <c r="S14" s="218"/>
      <c r="T14" s="218"/>
      <c r="U14" s="218"/>
      <c r="V14" s="218"/>
    </row>
    <row r="15" spans="1:22">
      <c r="B15" s="218"/>
      <c r="C15" s="218"/>
      <c r="D15" s="218"/>
      <c r="E15" s="419"/>
      <c r="F15" s="218"/>
      <c r="G15" s="401"/>
      <c r="H15" s="401"/>
      <c r="I15" s="218"/>
      <c r="J15" s="218"/>
      <c r="K15" s="218"/>
      <c r="L15" s="218"/>
      <c r="M15" s="218"/>
      <c r="N15" s="218"/>
      <c r="O15" s="218"/>
      <c r="P15" s="218"/>
      <c r="Q15" s="218"/>
      <c r="R15" s="218"/>
      <c r="S15" s="218"/>
      <c r="T15" s="218"/>
      <c r="U15" s="218"/>
      <c r="V15" s="218"/>
    </row>
    <row r="16" spans="1:22" ht="13">
      <c r="B16" s="396" t="s">
        <v>158</v>
      </c>
      <c r="C16" s="218"/>
      <c r="D16" s="218"/>
      <c r="E16" s="419"/>
      <c r="F16" s="218"/>
      <c r="G16" s="218"/>
      <c r="H16" s="218"/>
      <c r="I16" s="218"/>
      <c r="J16" s="218"/>
      <c r="K16" s="218"/>
      <c r="L16" s="218"/>
      <c r="M16" s="218"/>
      <c r="N16" s="218"/>
      <c r="O16" s="218"/>
      <c r="P16" s="218"/>
      <c r="Q16" s="218"/>
      <c r="R16" s="218"/>
      <c r="S16" s="218"/>
      <c r="T16" s="218"/>
      <c r="U16" s="218"/>
      <c r="V16" s="218"/>
    </row>
    <row r="17" spans="1:23" ht="15.5">
      <c r="B17" s="408" t="s">
        <v>329</v>
      </c>
      <c r="C17" s="408" t="s">
        <v>330</v>
      </c>
      <c r="D17" s="408" t="s">
        <v>331</v>
      </c>
      <c r="E17" s="420" t="s">
        <v>7</v>
      </c>
      <c r="F17" s="408" t="s">
        <v>8</v>
      </c>
      <c r="G17" s="408" t="s">
        <v>9</v>
      </c>
      <c r="H17" s="408" t="s">
        <v>10</v>
      </c>
      <c r="I17" s="408" t="s">
        <v>177</v>
      </c>
      <c r="J17" s="408" t="s">
        <v>12</v>
      </c>
      <c r="K17" s="408" t="s">
        <v>13</v>
      </c>
      <c r="L17" s="408" t="s">
        <v>14</v>
      </c>
      <c r="M17" s="408" t="s">
        <v>15</v>
      </c>
      <c r="N17" s="408" t="s">
        <v>16</v>
      </c>
      <c r="O17" s="408" t="s">
        <v>17</v>
      </c>
      <c r="P17" s="397" t="s">
        <v>18</v>
      </c>
      <c r="Q17" s="218"/>
      <c r="R17" s="218"/>
      <c r="S17" s="218"/>
      <c r="T17" s="218"/>
      <c r="U17" s="218"/>
      <c r="V17" s="218"/>
    </row>
    <row r="18" spans="1:23" ht="13">
      <c r="A18" s="398" t="s">
        <v>159</v>
      </c>
      <c r="B18" s="399">
        <f>(SUM(Calcolo!G24:G26)+SUM(Calcolo!G35:'Calcolo'!G36)+Calcolo!G39+SUM(Calcolo!G42:G43)+SUM(Calcolo!G49:G50)+(Stampa!$G$62*'Acidi &amp; concimi'!AI33*1000000/(Parametri!$I$27*Parametri!$I$28))+SUM(Calcolo!G58:G69))*(Parametri!$I$27)/1000+Parametri!D18/1000</f>
        <v>0.67956067956469823</v>
      </c>
      <c r="C18" s="399">
        <f>(SUM(Calcolo!H24:H26)+SUM(Calcolo!H35:'Calcolo'!H36)+Calcolo!H39+SUM(Calcolo!H42:H43)+SUM(Calcolo!H49:H50)+(Stampa!$G$62*'Acidi &amp; concimi'!AJ33*1000000/(Parametri!$I$27*Parametri!$I$28))+SUM(Calcolo!H58:H69))*(Parametri!$I$27)/1000+Parametri!E18/1000</f>
        <v>3.5258106240997154E-4</v>
      </c>
      <c r="D18" s="399">
        <f>(SUM(Calcolo!I24:I26)+SUM(Calcolo!I35:'Calcolo'!I36)+Calcolo!I39+SUM(Calcolo!I42:I43)+SUM(Calcolo!I49:I50)+(Stampa!$G$62*'Acidi &amp; concimi'!AK33*1000000/(Parametri!$I$27*Parametri!$I$28))+SUM(Calcolo!I58:I69))*(Parametri!$I$27)/1000+Parametri!F18/1000</f>
        <v>0.2</v>
      </c>
      <c r="E18" s="421">
        <f>(SUM(Calcolo!J24:J26)+SUM(Calcolo!J35:'Calcolo'!J36)+Calcolo!J39+SUM(Calcolo!J42:J43)+SUM(Calcolo!J49:J50)+(Stampa!$G$62*'Acidi &amp; concimi'!AL33*1000000/(Parametri!$I$27*Parametri!$I$28))+SUM(Calcolo!J58:J69))*(Parametri!$I$27)/1000+Parametri!G18/1000</f>
        <v>1.2797543475218733</v>
      </c>
      <c r="F18" s="399">
        <f>(SUM(Calcolo!K24:K26)+SUM(Calcolo!K35:'Calcolo'!K36)+Calcolo!K39+SUM(Calcolo!K42:K43)+SUM(Calcolo!K49:K50)+(Stampa!$G$62*'Acidi &amp; concimi'!AM33*1000000/(Parametri!$I$27*Parametri!$I$28))+SUM(Calcolo!K58:K69))*(Parametri!$I$27)/1000+Parametri!H18/1000</f>
        <v>0</v>
      </c>
      <c r="G18" s="399">
        <f>(SUM(Calcolo!L24:L26)+SUM(Calcolo!L35:'Calcolo'!L36)+Calcolo!L39+SUM(Calcolo!L42:L43)+SUM(Calcolo!L49:L50)+(Stampa!$G$62*'Acidi &amp; concimi'!AN33*1000000/(Parametri!$I$27*Parametri!$I$28))+SUM(Calcolo!L58:L69))*(Parametri!$I$27)/1000+Parametri!I18/1000</f>
        <v>0.3</v>
      </c>
      <c r="H18" s="399">
        <f>(SUM(Calcolo!M24:M26)+SUM(Calcolo!M35:'Calcolo'!M36)+Calcolo!M39+SUM(Calcolo!M42:M43)+SUM(Calcolo!M49:M50)+(Stampa!$G$62*'Acidi &amp; concimi'!AO33*1000000/(Parametri!$I$27*Parametri!$I$28))+SUM(Calcolo!M58:M69))*(Parametri!$I$27)/1000+Parametri!J18/1000</f>
        <v>2.0121274251905636E-3</v>
      </c>
      <c r="I18" s="399">
        <f>(SUM(Calcolo!N24:N26)+SUM(Calcolo!N35:'Calcolo'!N36)+Calcolo!N39+SUM(Calcolo!N42:N43)+SUM(Calcolo!N49:N50)+(Stampa!$G$62*'Acidi &amp; concimi'!AP33*1000000/(Parametri!$I$27*Parametri!$I$28))+SUM(Calcolo!N58:N69))*(Parametri!$I$27)/1000+Parametri!K18/1000</f>
        <v>0.50326923247044109</v>
      </c>
      <c r="J18" s="399">
        <f>(SUM(Calcolo!O24:O26)+SUM(Calcolo!O35:'Calcolo'!O36)+Calcolo!O39+SUM(Calcolo!O42:O43)+SUM(Calcolo!O49:O50)+(Stampa!$G$62*'Acidi &amp; concimi'!AQ33*1000000/(Parametri!$I$27*Parametri!$I$28))+SUM(Calcolo!O58:O69))*(Parametri!$I$27)/1000+Parametri!L18/1000</f>
        <v>0</v>
      </c>
      <c r="K18" s="399">
        <f>(SUM(Calcolo!P24:P26)+SUM(Calcolo!P35:'Calcolo'!P36)+Calcolo!P39+SUM(Calcolo!P42:P43)+SUM(Calcolo!P49:P50)+(Stampa!$G$62*'Acidi &amp; concimi'!AR33*1000000/(Parametri!$I$27*Parametri!$I$28))+SUM(Calcolo!P58:P69))*(Parametri!$I$27)/1000+Parametri!M18/1000</f>
        <v>0</v>
      </c>
      <c r="L18" s="399">
        <f>(SUM(Calcolo!Q24:Q26)+SUM(Calcolo!Q35:'Calcolo'!Q36)+Calcolo!Q39+SUM(Calcolo!Q42:Q43)+SUM(Calcolo!Q49:Q50)+(Stampa!$G$62*'Acidi &amp; concimi'!AS33*1000000/(Parametri!$I$27*Parametri!$I$28))+SUM(Calcolo!Q58:Q69))*(Parametri!$I$27)/1000+Parametri!N18/1000</f>
        <v>4</v>
      </c>
      <c r="M18" s="399">
        <f>(SUM(Calcolo!R24:R26)+SUM(Calcolo!R35:'Calcolo'!R36)+Calcolo!R39+SUM(Calcolo!R42:R43)+SUM(Calcolo!R49:R50)+(Stampa!$G$62*'Acidi &amp; concimi'!AT33*1000000/(Parametri!$I$27*Parametri!$I$28))+SUM(Calcolo!R58:R69))*(Parametri!$I$27)/1000+Parametri!O18/1000</f>
        <v>0.2</v>
      </c>
      <c r="N18" s="399">
        <f>(SUM(Calcolo!S24:S26)+SUM(Calcolo!S35:'Calcolo'!S36)+Calcolo!S39+SUM(Calcolo!S42:S43)+SUM(Calcolo!S49:S50)+(Stampa!$G$62*'Acidi &amp; concimi'!AU33*1000000/(Parametri!$I$27*Parametri!$I$28))+SUM(Calcolo!S58:S69))*(Parametri!$I$27)/1000+Parametri!P18/1000</f>
        <v>1</v>
      </c>
      <c r="O18" s="399">
        <f>(SUM(Calcolo!T24:T26)+SUM(Calcolo!T35:'Calcolo'!T36)+Calcolo!T39+SUM(Calcolo!T42:T43)+SUM(Calcolo!T49:T50)+(Stampa!$G$62*'Acidi &amp; concimi'!AV33*1000000/(Parametri!$I$27*Parametri!$I$28))+SUM(Calcolo!T58:T69))*(Parametri!$I$27)/1000+Parametri!Q18/1000</f>
        <v>2</v>
      </c>
      <c r="P18" s="399">
        <f>(SUM(Calcolo!U24:U26)+SUM(Calcolo!U35:'Calcolo'!U36)+Calcolo!U39+SUM(Calcolo!U42:U43)+SUM(Calcolo!U49:U50)+(Stampa!$G$62*'Acidi &amp; concimi'!AW33*1000000/(Parametri!$I$27*Parametri!$I$28))+SUM(Calcolo!U58:U69))*(Parametri!$I$27)/1000+Parametri!R18/1000</f>
        <v>0.2</v>
      </c>
      <c r="Q18" s="218"/>
      <c r="R18" s="218"/>
      <c r="S18" s="218"/>
      <c r="T18" s="218"/>
      <c r="U18" s="218"/>
      <c r="V18" s="218"/>
    </row>
    <row r="19" spans="1:23" ht="13">
      <c r="A19" s="398" t="s">
        <v>160</v>
      </c>
      <c r="B19" s="409">
        <v>14</v>
      </c>
      <c r="C19" s="409">
        <v>14</v>
      </c>
      <c r="D19" s="409">
        <v>31</v>
      </c>
      <c r="E19" s="422">
        <v>39.1</v>
      </c>
      <c r="F19" s="409">
        <v>40.08</v>
      </c>
      <c r="G19" s="409">
        <v>24.312000000000001</v>
      </c>
      <c r="H19" s="409">
        <v>23</v>
      </c>
      <c r="I19" s="409">
        <v>32.1</v>
      </c>
      <c r="J19" s="409">
        <v>35.472999999999999</v>
      </c>
      <c r="K19" s="409">
        <v>55.9</v>
      </c>
      <c r="L19" s="409">
        <v>10.8</v>
      </c>
      <c r="M19" s="409">
        <v>63.5</v>
      </c>
      <c r="N19" s="409">
        <v>65.400000000000006</v>
      </c>
      <c r="O19" s="409">
        <v>54.9</v>
      </c>
      <c r="P19" s="400">
        <v>96</v>
      </c>
      <c r="Q19" s="218"/>
      <c r="R19" s="218"/>
      <c r="S19" s="218"/>
      <c r="T19" s="218"/>
      <c r="U19" s="218"/>
      <c r="V19" s="218"/>
    </row>
    <row r="20" spans="1:23" ht="13">
      <c r="A20" s="398"/>
      <c r="B20" s="399"/>
      <c r="C20" s="399"/>
      <c r="D20" s="399"/>
      <c r="E20" s="421"/>
      <c r="F20" s="399"/>
      <c r="G20" s="399"/>
      <c r="H20" s="399"/>
      <c r="I20" s="399"/>
      <c r="J20" s="399"/>
      <c r="K20" s="399"/>
      <c r="L20" s="399"/>
      <c r="M20" s="399"/>
      <c r="N20" s="399"/>
      <c r="O20" s="399"/>
      <c r="P20" s="399"/>
      <c r="Q20" s="218"/>
      <c r="R20" s="218"/>
      <c r="S20" s="218"/>
      <c r="T20" s="218"/>
      <c r="U20" s="218"/>
      <c r="V20" s="218"/>
    </row>
    <row r="21" spans="1:23">
      <c r="B21" s="218"/>
      <c r="C21" s="218"/>
      <c r="D21" s="218"/>
      <c r="E21" s="419"/>
      <c r="F21" s="218"/>
      <c r="G21" s="218"/>
      <c r="H21" s="218"/>
      <c r="I21" s="218"/>
      <c r="J21" s="218"/>
      <c r="K21" s="218"/>
      <c r="L21" s="218"/>
      <c r="M21" s="218"/>
      <c r="N21" s="218"/>
      <c r="O21" s="218"/>
      <c r="P21" s="218"/>
      <c r="Q21" s="218"/>
      <c r="R21" s="218"/>
      <c r="S21" s="218"/>
      <c r="T21" s="218"/>
      <c r="U21" s="218"/>
      <c r="V21" s="218"/>
    </row>
    <row r="22" spans="1:23" s="417" customFormat="1" ht="14">
      <c r="A22" s="411"/>
      <c r="B22" s="416" t="s">
        <v>161</v>
      </c>
      <c r="C22" s="412"/>
      <c r="D22" s="412"/>
      <c r="E22" s="423"/>
      <c r="F22" s="412"/>
      <c r="G22" s="412"/>
      <c r="H22" s="412"/>
      <c r="I22" s="412"/>
      <c r="J22" s="412"/>
      <c r="K22" s="412"/>
      <c r="L22" s="412"/>
      <c r="M22" s="412"/>
      <c r="N22" s="412"/>
      <c r="O22" s="412"/>
      <c r="P22" s="412"/>
      <c r="Q22" s="412"/>
      <c r="R22" s="412"/>
      <c r="S22" s="412"/>
      <c r="T22" s="412"/>
      <c r="U22" s="412"/>
      <c r="V22" s="412"/>
    </row>
    <row r="23" spans="1:23" ht="13">
      <c r="B23" s="218"/>
      <c r="C23" s="402" t="s">
        <v>332</v>
      </c>
      <c r="D23" s="396" t="s">
        <v>162</v>
      </c>
      <c r="E23" s="544" t="s">
        <v>333</v>
      </c>
      <c r="F23" s="544"/>
      <c r="G23" s="402" t="s">
        <v>71</v>
      </c>
      <c r="H23" s="396" t="s">
        <v>334</v>
      </c>
      <c r="I23" s="218"/>
      <c r="J23" s="218"/>
      <c r="K23" s="218"/>
      <c r="L23" s="218"/>
      <c r="M23" s="218"/>
      <c r="N23" s="218"/>
      <c r="O23" s="218"/>
      <c r="P23" s="218"/>
      <c r="Q23" s="218"/>
      <c r="R23" s="218"/>
      <c r="S23" s="218"/>
      <c r="T23" s="218"/>
      <c r="U23" s="218"/>
      <c r="V23" s="218"/>
    </row>
    <row r="24" spans="1:23" ht="16">
      <c r="B24" s="13" t="s">
        <v>261</v>
      </c>
      <c r="C24" s="403">
        <v>101.1</v>
      </c>
      <c r="D24" s="403">
        <v>133</v>
      </c>
      <c r="E24" s="419" t="s">
        <v>262</v>
      </c>
      <c r="F24" s="218"/>
      <c r="G24" s="404">
        <f>((D24/C24)^2)</f>
        <v>1.7306170208810894</v>
      </c>
      <c r="H24" s="404">
        <f>E12*B12</f>
        <v>0.67906147371307868</v>
      </c>
      <c r="I24" s="405">
        <f>IF(H24&gt;G24,B24,0)</f>
        <v>0</v>
      </c>
      <c r="J24" s="406" t="str">
        <f>IF(H24&gt;G24,"The dilution ratio is too high"," ")</f>
        <v xml:space="preserve"> </v>
      </c>
      <c r="K24" s="406"/>
      <c r="L24" s="406"/>
      <c r="M24" s="406"/>
      <c r="N24" s="406"/>
      <c r="O24" s="406"/>
      <c r="P24" s="406"/>
      <c r="Q24" s="13"/>
      <c r="R24" s="13"/>
      <c r="S24" s="13"/>
      <c r="T24" s="13"/>
      <c r="U24" s="13"/>
      <c r="V24" s="13"/>
      <c r="W24" s="16" t="str">
        <f>IF(H24&gt;G24,1," ")</f>
        <v xml:space="preserve"> </v>
      </c>
    </row>
    <row r="25" spans="1:23" ht="15">
      <c r="B25" s="13" t="s">
        <v>46</v>
      </c>
      <c r="C25" s="403">
        <v>74.55</v>
      </c>
      <c r="D25" s="403">
        <v>344</v>
      </c>
      <c r="E25" s="424" t="s">
        <v>263</v>
      </c>
      <c r="F25" s="218"/>
      <c r="G25" s="404">
        <f>((D25/C25)^2)</f>
        <v>21.292251609365568</v>
      </c>
      <c r="H25" s="404">
        <f>E12*J12</f>
        <v>0</v>
      </c>
      <c r="I25" s="405">
        <f t="shared" ref="I25:I35" si="0">IF(H25&gt;G25,B25,0)</f>
        <v>0</v>
      </c>
      <c r="J25" s="406" t="str">
        <f t="shared" ref="J25:J35" si="1">IF(H25&gt;G25,"Probably the dilution ratio is too high"," ")</f>
        <v xml:space="preserve"> </v>
      </c>
      <c r="K25" s="406"/>
      <c r="L25" s="406"/>
      <c r="M25" s="406"/>
      <c r="N25" s="406"/>
      <c r="O25" s="406"/>
      <c r="P25" s="406"/>
      <c r="Q25" s="13"/>
      <c r="R25" s="13"/>
      <c r="S25" s="13"/>
      <c r="T25" s="13"/>
      <c r="U25" s="13"/>
      <c r="V25" s="13"/>
      <c r="W25" s="16" t="str">
        <f t="shared" ref="W25:W35" si="2">IF(H25&gt;G25,1," ")</f>
        <v xml:space="preserve"> </v>
      </c>
    </row>
    <row r="26" spans="1:23" ht="16">
      <c r="B26" s="13" t="s">
        <v>264</v>
      </c>
      <c r="C26" s="403">
        <v>164.09</v>
      </c>
      <c r="D26" s="403">
        <v>1212</v>
      </c>
      <c r="E26" s="419" t="s">
        <v>265</v>
      </c>
      <c r="F26" s="218"/>
      <c r="G26" s="404">
        <f>((D26/C26)^3)*4</f>
        <v>1611.8384286005539</v>
      </c>
      <c r="H26" s="170">
        <f>F12*B12^2</f>
        <v>3.5970103293185005</v>
      </c>
      <c r="I26" s="405">
        <f t="shared" si="0"/>
        <v>0</v>
      </c>
      <c r="J26" s="406" t="str">
        <f t="shared" si="1"/>
        <v xml:space="preserve"> </v>
      </c>
      <c r="K26" s="406"/>
      <c r="L26" s="406"/>
      <c r="M26" s="406"/>
      <c r="N26" s="406"/>
      <c r="O26" s="406"/>
      <c r="P26" s="406"/>
      <c r="Q26" s="13"/>
      <c r="R26" s="13"/>
      <c r="S26" s="13"/>
      <c r="T26" s="13"/>
      <c r="U26" s="13"/>
      <c r="V26" s="13"/>
      <c r="W26" s="16" t="str">
        <f t="shared" si="2"/>
        <v xml:space="preserve"> </v>
      </c>
    </row>
    <row r="27" spans="1:23" ht="15.5">
      <c r="B27" s="13" t="s">
        <v>266</v>
      </c>
      <c r="C27" s="403">
        <v>110.99</v>
      </c>
      <c r="D27" s="403">
        <v>745</v>
      </c>
      <c r="E27" s="419" t="s">
        <v>267</v>
      </c>
      <c r="F27" s="218"/>
      <c r="G27" s="404">
        <f>((D27/C27)^3)*4</f>
        <v>1209.6988154636736</v>
      </c>
      <c r="H27" s="170">
        <f>F12*J12^2</f>
        <v>0</v>
      </c>
      <c r="I27" s="405">
        <f t="shared" si="0"/>
        <v>0</v>
      </c>
      <c r="J27" s="406" t="str">
        <f t="shared" si="1"/>
        <v xml:space="preserve"> </v>
      </c>
      <c r="K27" s="406"/>
      <c r="L27" s="406"/>
      <c r="M27" s="406"/>
      <c r="N27" s="406"/>
      <c r="O27" s="406"/>
      <c r="P27" s="406"/>
      <c r="Q27" s="13"/>
      <c r="R27" s="13"/>
      <c r="S27" s="13"/>
      <c r="T27" s="13"/>
      <c r="U27" s="13"/>
      <c r="V27" s="13"/>
      <c r="W27" s="16" t="str">
        <f t="shared" si="2"/>
        <v xml:space="preserve"> </v>
      </c>
    </row>
    <row r="28" spans="1:23" ht="15.5">
      <c r="B28" s="13" t="s">
        <v>268</v>
      </c>
      <c r="C28" s="403">
        <v>252.07</v>
      </c>
      <c r="D28" s="403">
        <v>18</v>
      </c>
      <c r="E28" s="419" t="s">
        <v>269</v>
      </c>
      <c r="F28" s="218"/>
      <c r="G28" s="404">
        <f>((D28/C28)^3)*4</f>
        <v>1.456511850459744E-3</v>
      </c>
      <c r="H28" s="170">
        <f>F12*D12^2</f>
        <v>0</v>
      </c>
      <c r="I28" s="405">
        <f t="shared" si="0"/>
        <v>0</v>
      </c>
      <c r="J28" s="406" t="str">
        <f>IF(H28&gt;G28,"The dilution ratio is too high or you use salts containing phosphorus"," ")</f>
        <v xml:space="preserve"> </v>
      </c>
      <c r="K28" s="406"/>
      <c r="L28" s="406"/>
      <c r="M28" s="406"/>
      <c r="N28" s="406"/>
      <c r="O28" s="406"/>
      <c r="P28" s="406"/>
      <c r="Q28" s="13"/>
      <c r="R28" s="13"/>
      <c r="S28" s="13"/>
      <c r="T28" s="13"/>
      <c r="U28" s="13"/>
      <c r="V28" s="13"/>
      <c r="W28" s="16" t="str">
        <f t="shared" si="2"/>
        <v xml:space="preserve"> </v>
      </c>
    </row>
    <row r="29" spans="1:23" ht="15.5">
      <c r="B29" s="13" t="s">
        <v>270</v>
      </c>
      <c r="C29" s="403">
        <v>136.13999999999999</v>
      </c>
      <c r="D29" s="403">
        <v>2.09</v>
      </c>
      <c r="E29" s="419" t="s">
        <v>26</v>
      </c>
      <c r="F29" s="218"/>
      <c r="G29" s="404">
        <f>((D29/C29)^2)</f>
        <v>2.3567910469198086E-4</v>
      </c>
      <c r="H29" s="170">
        <f>F12*I12</f>
        <v>0</v>
      </c>
      <c r="I29" s="405">
        <f t="shared" si="0"/>
        <v>0</v>
      </c>
      <c r="J29" s="406" t="str">
        <f>IF(H29&gt;G29,"The dilution ratio is too high, or you use salts that contain sulphate"," ")</f>
        <v xml:space="preserve"> </v>
      </c>
      <c r="K29" s="406"/>
      <c r="L29" s="406"/>
      <c r="M29" s="406"/>
      <c r="N29" s="406"/>
      <c r="O29" s="406"/>
      <c r="P29" s="406"/>
      <c r="Q29" s="13"/>
      <c r="R29" s="13"/>
      <c r="S29" s="13"/>
      <c r="T29" s="13"/>
      <c r="U29" s="13"/>
      <c r="V29" s="13"/>
      <c r="W29" s="16" t="str">
        <f t="shared" si="2"/>
        <v xml:space="preserve"> </v>
      </c>
    </row>
    <row r="30" spans="1:23" ht="16">
      <c r="B30" s="13" t="s">
        <v>271</v>
      </c>
      <c r="C30" s="403">
        <v>80.040000000000006</v>
      </c>
      <c r="D30" s="403">
        <v>1183</v>
      </c>
      <c r="E30" s="424" t="s">
        <v>272</v>
      </c>
      <c r="F30" s="218"/>
      <c r="G30" s="404">
        <f>((D30/C30)^2)</f>
        <v>218.45164998710038</v>
      </c>
      <c r="H30" s="404">
        <f>C12*B12</f>
        <v>0.42408786408706045</v>
      </c>
      <c r="I30" s="405">
        <f t="shared" si="0"/>
        <v>0</v>
      </c>
      <c r="J30" s="406" t="str">
        <f t="shared" si="1"/>
        <v xml:space="preserve"> </v>
      </c>
      <c r="K30" s="406"/>
      <c r="L30" s="406"/>
      <c r="M30" s="406"/>
      <c r="N30" s="406"/>
      <c r="O30" s="406"/>
      <c r="P30" s="406"/>
      <c r="Q30" s="13"/>
      <c r="R30" s="13"/>
      <c r="S30" s="13"/>
      <c r="T30" s="13"/>
      <c r="U30" s="13"/>
      <c r="V30" s="13"/>
      <c r="W30" s="16" t="str">
        <f t="shared" si="2"/>
        <v xml:space="preserve"> </v>
      </c>
    </row>
    <row r="31" spans="1:23" ht="16">
      <c r="B31" s="13" t="s">
        <v>273</v>
      </c>
      <c r="C31" s="403">
        <v>53.49</v>
      </c>
      <c r="D31" s="403">
        <v>29.7</v>
      </c>
      <c r="E31" s="424" t="s">
        <v>274</v>
      </c>
      <c r="F31" s="218"/>
      <c r="G31" s="404">
        <f>((D31/C31)^2)</f>
        <v>0.30829586714936263</v>
      </c>
      <c r="H31" s="404">
        <f>C12*J12</f>
        <v>0</v>
      </c>
      <c r="I31" s="405">
        <f t="shared" si="0"/>
        <v>0</v>
      </c>
      <c r="J31" s="406" t="str">
        <f t="shared" si="1"/>
        <v xml:space="preserve"> </v>
      </c>
      <c r="K31" s="406"/>
      <c r="L31" s="406"/>
      <c r="M31" s="406"/>
      <c r="N31" s="406"/>
      <c r="O31" s="406"/>
      <c r="P31" s="406"/>
      <c r="Q31" s="13"/>
      <c r="R31" s="13"/>
      <c r="S31" s="13"/>
      <c r="T31" s="13"/>
      <c r="U31" s="13"/>
      <c r="V31" s="13"/>
      <c r="W31" s="16" t="str">
        <f t="shared" si="2"/>
        <v xml:space="preserve"> </v>
      </c>
    </row>
    <row r="32" spans="1:23" ht="16">
      <c r="B32" s="13" t="s">
        <v>275</v>
      </c>
      <c r="C32" s="403">
        <v>84.99</v>
      </c>
      <c r="D32" s="403">
        <v>921</v>
      </c>
      <c r="E32" s="424" t="s">
        <v>276</v>
      </c>
      <c r="F32" s="218"/>
      <c r="G32" s="404">
        <f>((D32/C32)^2)</f>
        <v>117.43122786771661</v>
      </c>
      <c r="H32" s="404">
        <f>H12*B12</f>
        <v>0</v>
      </c>
      <c r="I32" s="405">
        <f t="shared" si="0"/>
        <v>0</v>
      </c>
      <c r="J32" s="406" t="str">
        <f t="shared" si="1"/>
        <v xml:space="preserve"> </v>
      </c>
      <c r="K32" s="406"/>
      <c r="L32" s="406"/>
      <c r="M32" s="406"/>
      <c r="N32" s="406"/>
      <c r="O32" s="406"/>
      <c r="P32" s="406"/>
      <c r="Q32" s="13"/>
      <c r="R32" s="13"/>
      <c r="S32" s="13"/>
      <c r="T32" s="13"/>
      <c r="U32" s="13"/>
      <c r="V32" s="13"/>
      <c r="W32" s="16" t="str">
        <f t="shared" si="2"/>
        <v xml:space="preserve"> </v>
      </c>
    </row>
    <row r="33" spans="1:23" ht="15">
      <c r="B33" s="13" t="s">
        <v>55</v>
      </c>
      <c r="C33" s="403">
        <v>55.44</v>
      </c>
      <c r="D33" s="403">
        <v>357</v>
      </c>
      <c r="E33" s="424" t="s">
        <v>277</v>
      </c>
      <c r="F33" s="218"/>
      <c r="G33" s="404">
        <f>((D33/C33)^2)</f>
        <v>41.465794306703401</v>
      </c>
      <c r="H33" s="404">
        <f>H12*J12</f>
        <v>0</v>
      </c>
      <c r="I33" s="405">
        <f t="shared" si="0"/>
        <v>0</v>
      </c>
      <c r="J33" s="406" t="str">
        <f t="shared" si="1"/>
        <v xml:space="preserve"> </v>
      </c>
      <c r="K33" s="406"/>
      <c r="L33" s="406"/>
      <c r="M33" s="406"/>
      <c r="N33" s="406"/>
      <c r="O33" s="406"/>
      <c r="P33" s="406"/>
      <c r="Q33" s="13"/>
      <c r="R33" s="13"/>
      <c r="S33" s="13"/>
      <c r="T33" s="13"/>
      <c r="U33" s="13"/>
      <c r="V33" s="13"/>
      <c r="W33" s="16" t="str">
        <f t="shared" si="2"/>
        <v xml:space="preserve"> </v>
      </c>
    </row>
    <row r="34" spans="1:23" ht="16">
      <c r="B34" s="13" t="s">
        <v>278</v>
      </c>
      <c r="C34" s="403">
        <v>287.95</v>
      </c>
      <c r="D34" s="403">
        <v>835</v>
      </c>
      <c r="E34" s="424" t="s">
        <v>279</v>
      </c>
      <c r="F34" s="218"/>
      <c r="G34" s="404">
        <f>((D34/C34)^3)*4</f>
        <v>97.536725006342365</v>
      </c>
      <c r="H34" s="404">
        <f>K12*(B12)^2</f>
        <v>13.488788734944379</v>
      </c>
      <c r="I34" s="405">
        <f t="shared" si="0"/>
        <v>0</v>
      </c>
      <c r="J34" s="406" t="str">
        <f t="shared" si="1"/>
        <v xml:space="preserve"> </v>
      </c>
      <c r="K34" s="406"/>
      <c r="L34" s="406"/>
      <c r="M34" s="406"/>
      <c r="N34" s="406"/>
      <c r="O34" s="406"/>
      <c r="P34" s="406"/>
      <c r="Q34" s="13"/>
      <c r="R34" s="13"/>
      <c r="S34" s="13"/>
      <c r="T34" s="13"/>
      <c r="U34" s="13"/>
      <c r="V34" s="13"/>
      <c r="W34" s="16" t="str">
        <f t="shared" si="2"/>
        <v xml:space="preserve"> </v>
      </c>
    </row>
    <row r="35" spans="1:23" ht="16">
      <c r="B35" s="13" t="s">
        <v>280</v>
      </c>
      <c r="C35" s="403">
        <v>126.75</v>
      </c>
      <c r="D35" s="403">
        <v>644</v>
      </c>
      <c r="E35" s="424" t="s">
        <v>281</v>
      </c>
      <c r="F35" s="218"/>
      <c r="G35" s="404">
        <f>((D35/C35)^3)*4</f>
        <v>524.65484695689963</v>
      </c>
      <c r="H35" s="404">
        <f>K12*(J12)^2</f>
        <v>0</v>
      </c>
      <c r="I35" s="405">
        <f t="shared" si="0"/>
        <v>0</v>
      </c>
      <c r="J35" s="406" t="str">
        <f t="shared" si="1"/>
        <v xml:space="preserve"> </v>
      </c>
      <c r="K35" s="406"/>
      <c r="L35" s="406"/>
      <c r="M35" s="406"/>
      <c r="N35" s="406"/>
      <c r="O35" s="406"/>
      <c r="P35" s="406"/>
      <c r="Q35" s="13"/>
      <c r="R35" s="13"/>
      <c r="S35" s="13"/>
      <c r="T35" s="13"/>
      <c r="U35" s="13"/>
      <c r="V35" s="13"/>
      <c r="W35" s="16" t="str">
        <f t="shared" si="2"/>
        <v xml:space="preserve"> </v>
      </c>
    </row>
    <row r="36" spans="1:23" s="417" customFormat="1" ht="14">
      <c r="A36" s="411"/>
      <c r="B36" s="411"/>
      <c r="C36" s="411"/>
      <c r="D36" s="411"/>
      <c r="E36" s="423"/>
      <c r="F36" s="412"/>
      <c r="G36" s="413"/>
      <c r="H36" s="414" t="s">
        <v>164</v>
      </c>
      <c r="I36" s="415">
        <f>SUM(W24:W35)</f>
        <v>0</v>
      </c>
      <c r="J36" s="416" t="s">
        <v>165</v>
      </c>
      <c r="K36" s="412"/>
      <c r="L36" s="412"/>
      <c r="M36" s="412"/>
      <c r="N36" s="412"/>
      <c r="O36" s="412"/>
      <c r="P36" s="412"/>
      <c r="Q36" s="411"/>
      <c r="R36" s="411"/>
      <c r="S36" s="411"/>
      <c r="T36" s="411"/>
      <c r="U36" s="411"/>
      <c r="V36" s="411"/>
    </row>
    <row r="37" spans="1:23">
      <c r="B37" s="13"/>
      <c r="C37" s="13"/>
      <c r="D37" s="13"/>
      <c r="E37" s="234"/>
      <c r="F37" s="13"/>
      <c r="G37" s="14"/>
      <c r="H37" s="14"/>
      <c r="I37" s="14"/>
      <c r="J37" s="13"/>
      <c r="K37" s="13"/>
      <c r="L37" s="13"/>
      <c r="M37" s="13"/>
      <c r="N37" s="13"/>
      <c r="O37" s="13"/>
      <c r="P37" s="13"/>
      <c r="Q37" s="13"/>
      <c r="R37" s="13"/>
      <c r="S37" s="13"/>
      <c r="T37" s="13"/>
      <c r="U37" s="13"/>
      <c r="V37" s="13"/>
    </row>
    <row r="38" spans="1:23">
      <c r="B38" s="13"/>
      <c r="C38" s="13"/>
      <c r="D38" s="13"/>
      <c r="E38" s="234"/>
      <c r="F38" s="13"/>
      <c r="G38" s="14"/>
      <c r="H38" s="14"/>
      <c r="I38" s="14"/>
      <c r="J38" s="13"/>
      <c r="K38" s="13"/>
      <c r="L38" s="13"/>
      <c r="M38" s="13"/>
      <c r="N38" s="13"/>
      <c r="O38" s="13"/>
      <c r="P38" s="13"/>
      <c r="Q38" s="13"/>
      <c r="R38" s="13"/>
      <c r="S38" s="13"/>
      <c r="T38" s="13"/>
      <c r="U38" s="13"/>
      <c r="V38" s="13"/>
    </row>
    <row r="39" spans="1:23" s="417" customFormat="1" ht="14">
      <c r="A39" s="411"/>
      <c r="B39" s="418" t="s">
        <v>163</v>
      </c>
      <c r="C39" s="411"/>
      <c r="D39" s="411"/>
      <c r="E39" s="425"/>
      <c r="F39" s="411"/>
      <c r="G39" s="413"/>
      <c r="H39" s="413"/>
      <c r="I39" s="413"/>
      <c r="J39" s="411"/>
      <c r="K39" s="411"/>
      <c r="L39" s="411"/>
      <c r="M39" s="411"/>
      <c r="N39" s="411"/>
      <c r="O39" s="411"/>
      <c r="P39" s="411"/>
      <c r="Q39" s="411"/>
      <c r="R39" s="411"/>
      <c r="S39" s="411"/>
      <c r="T39" s="411"/>
      <c r="U39" s="411"/>
      <c r="V39" s="411"/>
    </row>
    <row r="40" spans="1:23" ht="13">
      <c r="B40" s="218"/>
      <c r="C40" s="402" t="s">
        <v>332</v>
      </c>
      <c r="D40" s="396" t="s">
        <v>162</v>
      </c>
      <c r="E40" s="544" t="s">
        <v>333</v>
      </c>
      <c r="F40" s="544"/>
      <c r="G40" s="402" t="s">
        <v>71</v>
      </c>
      <c r="H40" s="396" t="s">
        <v>334</v>
      </c>
      <c r="I40" s="218"/>
      <c r="J40" s="218"/>
      <c r="K40" s="218"/>
      <c r="L40" s="218"/>
      <c r="M40" s="218"/>
      <c r="N40" s="218"/>
      <c r="O40" s="218"/>
      <c r="P40" s="218"/>
      <c r="Q40" s="218"/>
      <c r="R40" s="218"/>
      <c r="S40" s="218"/>
      <c r="T40" s="218"/>
      <c r="U40" s="218"/>
      <c r="V40" s="218"/>
    </row>
    <row r="41" spans="1:23" ht="16">
      <c r="B41" s="13" t="s">
        <v>264</v>
      </c>
      <c r="C41" s="403">
        <v>164.09</v>
      </c>
      <c r="D41" s="403">
        <v>1212</v>
      </c>
      <c r="E41" s="234" t="s">
        <v>265</v>
      </c>
      <c r="F41" s="13"/>
      <c r="G41" s="404">
        <f>((D41/C41)^3)*4</f>
        <v>1611.8384286005539</v>
      </c>
      <c r="H41" s="404">
        <f>F18*B18^2</f>
        <v>0</v>
      </c>
      <c r="I41" s="405">
        <f t="shared" ref="I41:I70" si="3">IF(H41&gt;G41,B41,0)</f>
        <v>0</v>
      </c>
      <c r="J41" s="406" t="str">
        <f>IF(H41&gt;G41,"The dilution ratio is too high"," ")</f>
        <v xml:space="preserve"> </v>
      </c>
      <c r="K41" s="406"/>
      <c r="L41" s="406"/>
      <c r="M41" s="406"/>
      <c r="N41" s="406"/>
      <c r="O41" s="406"/>
      <c r="P41" s="406"/>
      <c r="Q41" s="13"/>
      <c r="R41" s="13"/>
      <c r="S41" s="13"/>
      <c r="T41" s="13"/>
      <c r="U41" s="13"/>
      <c r="V41" s="13"/>
      <c r="W41" s="16" t="str">
        <f t="shared" ref="W41:W70" si="4">IF(H41&gt;G41,1," ")</f>
        <v xml:space="preserve"> </v>
      </c>
    </row>
    <row r="42" spans="1:23" ht="15.5">
      <c r="B42" s="13" t="s">
        <v>266</v>
      </c>
      <c r="C42" s="403">
        <v>110.99</v>
      </c>
      <c r="D42" s="403">
        <v>745</v>
      </c>
      <c r="E42" s="234" t="s">
        <v>267</v>
      </c>
      <c r="F42" s="13"/>
      <c r="G42" s="404">
        <f>((D42/C42)^3)*4</f>
        <v>1209.6988154636736</v>
      </c>
      <c r="H42" s="404">
        <f>F18*J18^2</f>
        <v>0</v>
      </c>
      <c r="I42" s="405">
        <f t="shared" si="3"/>
        <v>0</v>
      </c>
      <c r="J42" s="406" t="str">
        <f t="shared" ref="J42:J70" si="5">IF(H42&gt;G42,"The dilution ratio is too high"," ")</f>
        <v xml:space="preserve"> </v>
      </c>
      <c r="K42" s="406"/>
      <c r="L42" s="406"/>
      <c r="M42" s="406"/>
      <c r="N42" s="406"/>
      <c r="O42" s="406"/>
      <c r="P42" s="406"/>
      <c r="Q42" s="13"/>
      <c r="R42" s="13"/>
      <c r="S42" s="13"/>
      <c r="T42" s="13"/>
      <c r="U42" s="13"/>
      <c r="V42" s="13"/>
      <c r="W42" s="16" t="str">
        <f t="shared" si="4"/>
        <v xml:space="preserve"> </v>
      </c>
    </row>
    <row r="43" spans="1:23" ht="15.5">
      <c r="B43" s="13" t="s">
        <v>282</v>
      </c>
      <c r="C43" s="403">
        <v>252.07</v>
      </c>
      <c r="D43" s="403">
        <v>18</v>
      </c>
      <c r="E43" s="234" t="s">
        <v>269</v>
      </c>
      <c r="F43" s="13"/>
      <c r="G43" s="404">
        <f>((D43/C43)^3)*4</f>
        <v>1.456511850459744E-3</v>
      </c>
      <c r="H43" s="404">
        <f>F18*D18^2</f>
        <v>0</v>
      </c>
      <c r="I43" s="405">
        <f t="shared" si="3"/>
        <v>0</v>
      </c>
      <c r="J43" s="406" t="str">
        <f>IF(H43&gt;G43,"The dilution ratio is too high or the precipitation is due to the Calcium  in the irrigation water"," ")</f>
        <v xml:space="preserve"> </v>
      </c>
      <c r="K43" s="406"/>
      <c r="L43" s="406"/>
      <c r="M43" s="406"/>
      <c r="N43" s="406"/>
      <c r="O43" s="406"/>
      <c r="P43" s="406"/>
      <c r="Q43" s="13"/>
      <c r="R43" s="13"/>
      <c r="S43" s="13"/>
      <c r="T43" s="13"/>
      <c r="U43" s="13"/>
      <c r="V43" s="13"/>
      <c r="W43" s="16" t="str">
        <f t="shared" si="4"/>
        <v xml:space="preserve"> </v>
      </c>
    </row>
    <row r="44" spans="1:23" ht="13">
      <c r="B44" s="13" t="s">
        <v>66</v>
      </c>
      <c r="C44" s="403">
        <v>136.13999999999999</v>
      </c>
      <c r="D44" s="403">
        <v>2.09</v>
      </c>
      <c r="E44" s="234" t="s">
        <v>26</v>
      </c>
      <c r="F44" s="13"/>
      <c r="G44" s="404">
        <f>((D44/C44)^2)</f>
        <v>2.3567910469198086E-4</v>
      </c>
      <c r="H44" s="404">
        <f>F18*I18</f>
        <v>0</v>
      </c>
      <c r="I44" s="405">
        <f t="shared" si="3"/>
        <v>0</v>
      </c>
      <c r="J44" s="406" t="str">
        <f>IF(H44&gt;G44,"The dilution ratio is too high or the precipitation is due to the Calcium  in the irrigation water"," ")</f>
        <v xml:space="preserve"> </v>
      </c>
      <c r="K44" s="406"/>
      <c r="L44" s="406"/>
      <c r="M44" s="406"/>
      <c r="N44" s="406"/>
      <c r="O44" s="406"/>
      <c r="P44" s="406"/>
      <c r="Q44" s="13"/>
      <c r="R44" s="13"/>
      <c r="S44" s="13"/>
      <c r="T44" s="13"/>
      <c r="U44" s="13"/>
      <c r="V44" s="13"/>
      <c r="W44" s="16" t="str">
        <f t="shared" si="4"/>
        <v xml:space="preserve"> </v>
      </c>
    </row>
    <row r="45" spans="1:23" ht="16">
      <c r="B45" s="13" t="s">
        <v>261</v>
      </c>
      <c r="C45" s="403">
        <v>101.1</v>
      </c>
      <c r="D45" s="403">
        <v>133</v>
      </c>
      <c r="E45" s="234" t="s">
        <v>262</v>
      </c>
      <c r="F45" s="13"/>
      <c r="G45" s="404">
        <f>((D45/C45)^2)</f>
        <v>1.7306170208810894</v>
      </c>
      <c r="H45" s="404">
        <f>E18*B18</f>
        <v>0.86967073407784123</v>
      </c>
      <c r="I45" s="405">
        <f t="shared" si="3"/>
        <v>0</v>
      </c>
      <c r="J45" s="406" t="str">
        <f t="shared" si="5"/>
        <v xml:space="preserve"> </v>
      </c>
      <c r="K45" s="406"/>
      <c r="L45" s="406"/>
      <c r="M45" s="406"/>
      <c r="N45" s="406"/>
      <c r="O45" s="406"/>
      <c r="P45" s="406"/>
      <c r="Q45" s="13"/>
      <c r="R45" s="13"/>
      <c r="S45" s="13"/>
      <c r="T45" s="13"/>
      <c r="U45" s="13"/>
      <c r="V45" s="13"/>
      <c r="W45" s="16" t="str">
        <f t="shared" si="4"/>
        <v xml:space="preserve"> </v>
      </c>
    </row>
    <row r="46" spans="1:23" ht="16">
      <c r="B46" s="13" t="s">
        <v>283</v>
      </c>
      <c r="C46" s="403">
        <v>136.09</v>
      </c>
      <c r="D46" s="403">
        <v>133</v>
      </c>
      <c r="E46" s="234" t="s">
        <v>284</v>
      </c>
      <c r="F46" s="13"/>
      <c r="G46" s="404">
        <f>((D46/C46)^2)</f>
        <v>0.95510441757741793</v>
      </c>
      <c r="H46" s="404">
        <f>E18*D18</f>
        <v>0.25595086950437468</v>
      </c>
      <c r="I46" s="405">
        <f t="shared" si="3"/>
        <v>0</v>
      </c>
      <c r="J46" s="406" t="str">
        <f t="shared" si="5"/>
        <v xml:space="preserve"> </v>
      </c>
      <c r="K46" s="406"/>
      <c r="L46" s="406"/>
      <c r="M46" s="406"/>
      <c r="N46" s="406"/>
      <c r="O46" s="406"/>
      <c r="P46" s="406"/>
      <c r="Q46" s="13"/>
      <c r="R46" s="13"/>
      <c r="S46" s="13"/>
      <c r="T46" s="13"/>
      <c r="U46" s="13"/>
      <c r="V46" s="13"/>
      <c r="W46" s="16" t="str">
        <f t="shared" si="4"/>
        <v xml:space="preserve"> </v>
      </c>
    </row>
    <row r="47" spans="1:23" ht="16">
      <c r="B47" s="13" t="s">
        <v>285</v>
      </c>
      <c r="C47" s="403">
        <v>174.25</v>
      </c>
      <c r="D47" s="403">
        <v>120</v>
      </c>
      <c r="E47" s="234" t="s">
        <v>286</v>
      </c>
      <c r="F47" s="13"/>
      <c r="G47" s="404">
        <f>((D47/C47)^3)*4</f>
        <v>1.3064276670623456</v>
      </c>
      <c r="H47" s="404">
        <f>I18*(E18^2)</f>
        <v>0.8242398497540725</v>
      </c>
      <c r="I47" s="405">
        <f t="shared" si="3"/>
        <v>0</v>
      </c>
      <c r="J47" s="406" t="str">
        <f t="shared" si="5"/>
        <v xml:space="preserve"> </v>
      </c>
      <c r="K47" s="406"/>
      <c r="L47" s="406"/>
      <c r="M47" s="406"/>
      <c r="N47" s="406"/>
      <c r="O47" s="406"/>
      <c r="P47" s="406"/>
      <c r="Q47" s="13"/>
      <c r="R47" s="13"/>
      <c r="S47" s="13"/>
      <c r="T47" s="13"/>
      <c r="U47" s="13"/>
      <c r="V47" s="13"/>
      <c r="W47" s="16" t="str">
        <f t="shared" si="4"/>
        <v xml:space="preserve"> </v>
      </c>
    </row>
    <row r="48" spans="1:23" ht="15">
      <c r="B48" s="13" t="s">
        <v>46</v>
      </c>
      <c r="C48" s="403">
        <v>74.55</v>
      </c>
      <c r="D48" s="403">
        <v>344</v>
      </c>
      <c r="E48" s="426" t="s">
        <v>263</v>
      </c>
      <c r="F48" s="13"/>
      <c r="G48" s="404">
        <f>((D48/C48)^2)</f>
        <v>21.292251609365568</v>
      </c>
      <c r="H48" s="404">
        <f>E18*J18</f>
        <v>0</v>
      </c>
      <c r="I48" s="405">
        <f t="shared" si="3"/>
        <v>0</v>
      </c>
      <c r="J48" s="406" t="str">
        <f t="shared" si="5"/>
        <v xml:space="preserve"> </v>
      </c>
      <c r="K48" s="406"/>
      <c r="L48" s="406"/>
      <c r="M48" s="406"/>
      <c r="N48" s="406"/>
      <c r="O48" s="406"/>
      <c r="P48" s="406"/>
      <c r="Q48" s="13"/>
      <c r="R48" s="13"/>
      <c r="S48" s="13"/>
      <c r="T48" s="13"/>
      <c r="U48" s="13"/>
      <c r="V48" s="13"/>
      <c r="W48" s="16" t="str">
        <f t="shared" si="4"/>
        <v xml:space="preserve"> </v>
      </c>
    </row>
    <row r="49" spans="2:23" ht="16">
      <c r="B49" s="13" t="s">
        <v>287</v>
      </c>
      <c r="C49" s="403">
        <v>377.55</v>
      </c>
      <c r="D49" s="403">
        <v>267</v>
      </c>
      <c r="E49" s="234" t="s">
        <v>288</v>
      </c>
      <c r="F49" s="13"/>
      <c r="G49" s="404">
        <f>((D49/C49)^3)*4</f>
        <v>1.4147195386833589</v>
      </c>
      <c r="H49" s="404">
        <f>E18^2*(L18/4)</f>
        <v>1.6377711900011358</v>
      </c>
      <c r="I49" s="405" t="str">
        <f t="shared" si="3"/>
        <v xml:space="preserve">K2B4O7*8H2O </v>
      </c>
      <c r="J49" s="406" t="str">
        <f t="shared" si="5"/>
        <v>The dilution ratio is too high</v>
      </c>
      <c r="K49" s="406"/>
      <c r="L49" s="406"/>
      <c r="M49" s="406"/>
      <c r="N49" s="406"/>
      <c r="O49" s="406"/>
      <c r="P49" s="406"/>
      <c r="Q49" s="13"/>
      <c r="R49" s="13"/>
      <c r="S49" s="13"/>
      <c r="T49" s="13"/>
      <c r="U49" s="13"/>
      <c r="V49" s="13"/>
      <c r="W49" s="16">
        <f t="shared" si="4"/>
        <v>1</v>
      </c>
    </row>
    <row r="50" spans="2:23" ht="16">
      <c r="B50" s="13" t="s">
        <v>289</v>
      </c>
      <c r="C50" s="403">
        <v>238.13</v>
      </c>
      <c r="D50" s="403">
        <v>1846</v>
      </c>
      <c r="E50" s="234" t="s">
        <v>290</v>
      </c>
      <c r="F50" s="13"/>
      <c r="G50" s="404">
        <f>((D50/C50)^3)*4</f>
        <v>1863.4285515771528</v>
      </c>
      <c r="H50" s="404">
        <f>E18^2*P18</f>
        <v>0.3275542380002272</v>
      </c>
      <c r="I50" s="405">
        <f t="shared" si="3"/>
        <v>0</v>
      </c>
      <c r="J50" s="406" t="str">
        <f t="shared" si="5"/>
        <v xml:space="preserve"> </v>
      </c>
      <c r="K50" s="406"/>
      <c r="L50" s="406"/>
      <c r="M50" s="406"/>
      <c r="N50" s="406"/>
      <c r="O50" s="406"/>
      <c r="P50" s="406"/>
      <c r="Q50" s="13"/>
      <c r="R50" s="13"/>
      <c r="S50" s="13"/>
      <c r="T50" s="13"/>
      <c r="U50" s="13"/>
      <c r="V50" s="13"/>
      <c r="W50" s="16" t="str">
        <f t="shared" si="4"/>
        <v xml:space="preserve"> </v>
      </c>
    </row>
    <row r="51" spans="2:23" ht="16">
      <c r="B51" s="13" t="s">
        <v>291</v>
      </c>
      <c r="C51" s="403">
        <v>80.040000000000006</v>
      </c>
      <c r="D51" s="403">
        <v>1183</v>
      </c>
      <c r="E51" s="426" t="s">
        <v>292</v>
      </c>
      <c r="F51" s="13"/>
      <c r="G51" s="404">
        <f>((D51/C51)^2)</f>
        <v>218.45164998710038</v>
      </c>
      <c r="H51" s="404">
        <f>C18*B18</f>
        <v>2.3960022637296353E-4</v>
      </c>
      <c r="I51" s="405">
        <f t="shared" si="3"/>
        <v>0</v>
      </c>
      <c r="J51" s="406" t="str">
        <f t="shared" si="5"/>
        <v xml:space="preserve"> </v>
      </c>
      <c r="K51" s="406"/>
      <c r="L51" s="406"/>
      <c r="M51" s="406"/>
      <c r="N51" s="406"/>
      <c r="O51" s="406"/>
      <c r="P51" s="406"/>
      <c r="Q51" s="13"/>
      <c r="R51" s="13"/>
      <c r="S51" s="13"/>
      <c r="T51" s="13"/>
      <c r="U51" s="13"/>
      <c r="V51" s="13"/>
      <c r="W51" s="16" t="str">
        <f t="shared" si="4"/>
        <v xml:space="preserve"> </v>
      </c>
    </row>
    <row r="52" spans="2:23" ht="16">
      <c r="B52" s="13" t="s">
        <v>293</v>
      </c>
      <c r="C52" s="403">
        <v>83.03</v>
      </c>
      <c r="D52" s="403">
        <v>1710</v>
      </c>
      <c r="E52" s="234" t="s">
        <v>294</v>
      </c>
      <c r="F52" s="13"/>
      <c r="G52" s="404">
        <f>((D52/C52)^2)</f>
        <v>424.15261115678453</v>
      </c>
      <c r="H52" s="404">
        <f>C18*D18</f>
        <v>7.0516212481994307E-5</v>
      </c>
      <c r="I52" s="405">
        <f t="shared" si="3"/>
        <v>0</v>
      </c>
      <c r="J52" s="406" t="str">
        <f t="shared" si="5"/>
        <v xml:space="preserve"> </v>
      </c>
      <c r="K52" s="406"/>
      <c r="L52" s="406"/>
      <c r="M52" s="406"/>
      <c r="N52" s="406"/>
      <c r="O52" s="406"/>
      <c r="P52" s="406"/>
      <c r="Q52" s="13"/>
      <c r="R52" s="13"/>
      <c r="S52" s="13"/>
      <c r="T52" s="13"/>
      <c r="U52" s="13"/>
      <c r="V52" s="13"/>
      <c r="W52" s="16" t="str">
        <f t="shared" si="4"/>
        <v xml:space="preserve"> </v>
      </c>
    </row>
    <row r="53" spans="2:23" ht="16">
      <c r="B53" s="13" t="s">
        <v>295</v>
      </c>
      <c r="C53" s="403">
        <v>132.13999999999999</v>
      </c>
      <c r="D53" s="403">
        <v>706</v>
      </c>
      <c r="E53" s="234" t="s">
        <v>296</v>
      </c>
      <c r="F53" s="13"/>
      <c r="G53" s="404">
        <f>((D53/C53)^3)*4</f>
        <v>610.05808490777599</v>
      </c>
      <c r="H53" s="404">
        <f>C18^2*I18</f>
        <v>6.256311220707315E-8</v>
      </c>
      <c r="I53" s="405">
        <f t="shared" si="3"/>
        <v>0</v>
      </c>
      <c r="J53" s="406" t="str">
        <f t="shared" si="5"/>
        <v xml:space="preserve"> </v>
      </c>
      <c r="K53" s="406"/>
      <c r="L53" s="406"/>
      <c r="M53" s="406"/>
      <c r="N53" s="406"/>
      <c r="O53" s="406"/>
      <c r="P53" s="406"/>
      <c r="Q53" s="13"/>
      <c r="R53" s="13"/>
      <c r="S53" s="13"/>
      <c r="T53" s="13"/>
      <c r="U53" s="13"/>
      <c r="V53" s="13"/>
      <c r="W53" s="16" t="str">
        <f t="shared" si="4"/>
        <v xml:space="preserve"> </v>
      </c>
    </row>
    <row r="54" spans="2:23" ht="16">
      <c r="B54" s="13" t="s">
        <v>273</v>
      </c>
      <c r="C54" s="403">
        <v>53.49</v>
      </c>
      <c r="D54" s="403">
        <v>29.7</v>
      </c>
      <c r="E54" s="426" t="s">
        <v>297</v>
      </c>
      <c r="F54" s="13"/>
      <c r="G54" s="404">
        <f>((D54/C54)^2)</f>
        <v>0.30829586714936263</v>
      </c>
      <c r="H54" s="404">
        <f>C18*J18</f>
        <v>0</v>
      </c>
      <c r="I54" s="405">
        <f t="shared" si="3"/>
        <v>0</v>
      </c>
      <c r="J54" s="406" t="str">
        <f t="shared" si="5"/>
        <v xml:space="preserve"> </v>
      </c>
      <c r="K54" s="406"/>
      <c r="L54" s="406"/>
      <c r="M54" s="406"/>
      <c r="N54" s="406"/>
      <c r="O54" s="406"/>
      <c r="P54" s="406"/>
      <c r="Q54" s="13"/>
      <c r="R54" s="13"/>
      <c r="S54" s="13"/>
      <c r="T54" s="13"/>
      <c r="U54" s="13"/>
      <c r="V54" s="13"/>
      <c r="W54" s="16" t="str">
        <f t="shared" si="4"/>
        <v xml:space="preserve"> </v>
      </c>
    </row>
    <row r="55" spans="2:23" ht="16">
      <c r="B55" s="13" t="s">
        <v>298</v>
      </c>
      <c r="C55" s="403">
        <v>263.37</v>
      </c>
      <c r="D55" s="403">
        <v>72.7</v>
      </c>
      <c r="E55" s="234" t="s">
        <v>299</v>
      </c>
      <c r="F55" s="13"/>
      <c r="G55" s="404">
        <f>((D55/C55)^3)*4</f>
        <v>8.4132600442882663E-2</v>
      </c>
      <c r="H55" s="404">
        <f>C18^2*(L18/4)</f>
        <v>1.2431340557014425E-7</v>
      </c>
      <c r="I55" s="405">
        <f t="shared" si="3"/>
        <v>0</v>
      </c>
      <c r="J55" s="406" t="str">
        <f t="shared" si="5"/>
        <v xml:space="preserve"> </v>
      </c>
      <c r="K55" s="406"/>
      <c r="L55" s="406"/>
      <c r="M55" s="406"/>
      <c r="N55" s="406"/>
      <c r="O55" s="406"/>
      <c r="P55" s="406"/>
      <c r="Q55" s="13"/>
      <c r="R55" s="13"/>
      <c r="S55" s="13"/>
      <c r="T55" s="13"/>
      <c r="U55" s="13"/>
      <c r="V55" s="13"/>
      <c r="W55" s="16" t="str">
        <f t="shared" si="4"/>
        <v xml:space="preserve"> </v>
      </c>
    </row>
    <row r="56" spans="2:23" ht="16">
      <c r="B56" s="13" t="s">
        <v>25</v>
      </c>
      <c r="C56" s="403">
        <v>1235.8599999999999</v>
      </c>
      <c r="D56" s="403">
        <v>430</v>
      </c>
      <c r="E56" s="234" t="s">
        <v>300</v>
      </c>
      <c r="F56" s="13"/>
      <c r="G56" s="404">
        <f>((D56/C56)^7)*36</f>
        <v>2.2222696629124863E-2</v>
      </c>
      <c r="H56" s="404">
        <f>C18^6*P18/7</f>
        <v>5.4889066911382434E-23</v>
      </c>
      <c r="I56" s="405">
        <f t="shared" si="3"/>
        <v>0</v>
      </c>
      <c r="J56" s="406" t="str">
        <f t="shared" si="5"/>
        <v xml:space="preserve"> </v>
      </c>
      <c r="K56" s="406"/>
      <c r="L56" s="406"/>
      <c r="M56" s="406"/>
      <c r="N56" s="406"/>
      <c r="O56" s="406"/>
      <c r="P56" s="406"/>
      <c r="Q56" s="13"/>
      <c r="R56" s="13"/>
      <c r="S56" s="13"/>
      <c r="T56" s="13"/>
      <c r="U56" s="13"/>
      <c r="V56" s="13"/>
      <c r="W56" s="16" t="str">
        <f t="shared" si="4"/>
        <v xml:space="preserve"> </v>
      </c>
    </row>
    <row r="57" spans="2:23" ht="16">
      <c r="B57" s="13" t="s">
        <v>301</v>
      </c>
      <c r="C57" s="403">
        <v>184.35</v>
      </c>
      <c r="D57" s="403">
        <v>260</v>
      </c>
      <c r="E57" s="234" t="s">
        <v>302</v>
      </c>
      <c r="F57" s="13"/>
      <c r="G57" s="404">
        <f>((D57/C57)^3)*4</f>
        <v>11.221492135162906</v>
      </c>
      <c r="H57" s="404">
        <f>G18*B18^2</f>
        <v>0.13854081516313033</v>
      </c>
      <c r="I57" s="405">
        <f t="shared" si="3"/>
        <v>0</v>
      </c>
      <c r="J57" s="406" t="str">
        <f t="shared" si="5"/>
        <v xml:space="preserve"> </v>
      </c>
      <c r="K57" s="406"/>
      <c r="L57" s="406"/>
      <c r="M57" s="406"/>
      <c r="N57" s="406"/>
      <c r="O57" s="406"/>
      <c r="P57" s="406"/>
      <c r="Q57" s="13"/>
      <c r="R57" s="13"/>
      <c r="S57" s="13"/>
      <c r="T57" s="13"/>
      <c r="U57" s="13"/>
      <c r="V57" s="13"/>
      <c r="W57" s="16" t="str">
        <f t="shared" si="4"/>
        <v xml:space="preserve"> </v>
      </c>
    </row>
    <row r="58" spans="2:23" ht="16">
      <c r="B58" s="13" t="s">
        <v>303</v>
      </c>
      <c r="C58" s="403">
        <v>120.36</v>
      </c>
      <c r="D58" s="403">
        <v>260</v>
      </c>
      <c r="E58" s="234" t="s">
        <v>304</v>
      </c>
      <c r="F58" s="13"/>
      <c r="G58" s="404">
        <f>((D58/C58)^2)</f>
        <v>4.6664040226722072</v>
      </c>
      <c r="H58" s="404">
        <f>G18*I18</f>
        <v>0.15098076974113231</v>
      </c>
      <c r="I58" s="405">
        <f t="shared" si="3"/>
        <v>0</v>
      </c>
      <c r="J58" s="406" t="str">
        <f t="shared" si="5"/>
        <v xml:space="preserve"> </v>
      </c>
      <c r="K58" s="406"/>
      <c r="L58" s="406"/>
      <c r="M58" s="406"/>
      <c r="N58" s="406"/>
      <c r="O58" s="406"/>
      <c r="P58" s="406"/>
      <c r="Q58" s="13"/>
      <c r="R58" s="13"/>
      <c r="S58" s="13"/>
      <c r="T58" s="13"/>
      <c r="U58" s="13"/>
      <c r="V58" s="13"/>
      <c r="W58" s="16" t="str">
        <f t="shared" si="4"/>
        <v xml:space="preserve"> </v>
      </c>
    </row>
    <row r="59" spans="2:23" ht="16">
      <c r="B59" s="13" t="s">
        <v>305</v>
      </c>
      <c r="C59" s="403">
        <v>95.21</v>
      </c>
      <c r="D59" s="403">
        <v>542.5</v>
      </c>
      <c r="E59" s="234" t="s">
        <v>306</v>
      </c>
      <c r="F59" s="13"/>
      <c r="G59" s="404">
        <f>((D59/C59)^3)*4</f>
        <v>739.96558804196036</v>
      </c>
      <c r="H59" s="404">
        <f>G18*J18^2</f>
        <v>0</v>
      </c>
      <c r="I59" s="405">
        <f t="shared" si="3"/>
        <v>0</v>
      </c>
      <c r="J59" s="406" t="str">
        <f t="shared" si="5"/>
        <v xml:space="preserve"> </v>
      </c>
      <c r="K59" s="406"/>
      <c r="L59" s="406"/>
      <c r="M59" s="406"/>
      <c r="N59" s="406"/>
      <c r="O59" s="406"/>
      <c r="P59" s="406"/>
      <c r="Q59" s="13"/>
      <c r="R59" s="13"/>
      <c r="S59" s="13"/>
      <c r="T59" s="13"/>
      <c r="U59" s="13"/>
      <c r="V59" s="13"/>
      <c r="W59" s="16" t="str">
        <f t="shared" si="4"/>
        <v xml:space="preserve"> </v>
      </c>
    </row>
    <row r="60" spans="2:23" ht="16">
      <c r="B60" s="13" t="s">
        <v>307</v>
      </c>
      <c r="C60" s="403">
        <v>184.24</v>
      </c>
      <c r="D60" s="403">
        <v>137</v>
      </c>
      <c r="E60" s="234" t="s">
        <v>308</v>
      </c>
      <c r="F60" s="13"/>
      <c r="G60" s="404">
        <f>((D60/C60)^3)*4</f>
        <v>1.6446364751858393</v>
      </c>
      <c r="H60" s="404">
        <f>G18*P18^2</f>
        <v>1.2000000000000002E-2</v>
      </c>
      <c r="I60" s="405">
        <f t="shared" si="3"/>
        <v>0</v>
      </c>
      <c r="J60" s="406" t="str">
        <f t="shared" si="5"/>
        <v xml:space="preserve"> </v>
      </c>
      <c r="K60" s="406"/>
      <c r="L60" s="406"/>
      <c r="M60" s="406"/>
      <c r="N60" s="406"/>
      <c r="O60" s="406"/>
      <c r="P60" s="406"/>
      <c r="Q60" s="13"/>
      <c r="R60" s="13"/>
      <c r="S60" s="13"/>
      <c r="T60" s="13"/>
      <c r="U60" s="13"/>
      <c r="V60" s="13"/>
      <c r="W60" s="16" t="str">
        <f t="shared" si="4"/>
        <v xml:space="preserve"> </v>
      </c>
    </row>
    <row r="61" spans="2:23" ht="16">
      <c r="B61" s="13" t="s">
        <v>309</v>
      </c>
      <c r="C61" s="403">
        <v>241.6</v>
      </c>
      <c r="D61" s="403">
        <v>137.80000000000001</v>
      </c>
      <c r="E61" s="234" t="s">
        <v>310</v>
      </c>
      <c r="F61" s="13"/>
      <c r="G61" s="404">
        <f>((D61/C61)^3)*4</f>
        <v>0.74219300036872482</v>
      </c>
      <c r="H61" s="404">
        <f>M18*B18^2</f>
        <v>9.2360543442086898E-2</v>
      </c>
      <c r="I61" s="405">
        <f t="shared" si="3"/>
        <v>0</v>
      </c>
      <c r="J61" s="406" t="str">
        <f t="shared" si="5"/>
        <v xml:space="preserve"> </v>
      </c>
      <c r="K61" s="406"/>
      <c r="L61" s="406"/>
      <c r="M61" s="406"/>
      <c r="N61" s="406"/>
      <c r="O61" s="406"/>
      <c r="P61" s="406"/>
      <c r="Q61" s="13"/>
      <c r="R61" s="13"/>
      <c r="S61" s="13"/>
      <c r="T61" s="13"/>
      <c r="U61" s="13"/>
      <c r="V61" s="13"/>
      <c r="W61" s="16" t="str">
        <f t="shared" si="4"/>
        <v xml:space="preserve"> </v>
      </c>
    </row>
    <row r="62" spans="2:23" ht="16">
      <c r="B62" s="13" t="s">
        <v>311</v>
      </c>
      <c r="C62" s="403">
        <v>159.6</v>
      </c>
      <c r="D62" s="403">
        <v>143</v>
      </c>
      <c r="E62" s="234" t="s">
        <v>312</v>
      </c>
      <c r="F62" s="13"/>
      <c r="G62" s="404">
        <f>((D62/C62)^2)</f>
        <v>0.80279803518822113</v>
      </c>
      <c r="H62" s="404">
        <f>M18*I18</f>
        <v>0.10065384649408822</v>
      </c>
      <c r="I62" s="405">
        <f t="shared" si="3"/>
        <v>0</v>
      </c>
      <c r="J62" s="406" t="str">
        <f t="shared" si="5"/>
        <v xml:space="preserve"> </v>
      </c>
      <c r="K62" s="406"/>
      <c r="L62" s="406"/>
      <c r="M62" s="406"/>
      <c r="N62" s="406"/>
      <c r="O62" s="406"/>
      <c r="P62" s="406"/>
      <c r="Q62" s="13"/>
      <c r="R62" s="13"/>
      <c r="S62" s="13"/>
      <c r="T62" s="13"/>
      <c r="U62" s="13"/>
      <c r="V62" s="13"/>
      <c r="W62" s="16" t="str">
        <f t="shared" si="4"/>
        <v xml:space="preserve"> </v>
      </c>
    </row>
    <row r="63" spans="2:23" ht="16">
      <c r="B63" s="13" t="s">
        <v>313</v>
      </c>
      <c r="C63" s="403">
        <v>134.44999999999999</v>
      </c>
      <c r="D63" s="403">
        <v>706</v>
      </c>
      <c r="E63" s="234" t="s">
        <v>314</v>
      </c>
      <c r="F63" s="13"/>
      <c r="G63" s="404">
        <f>((D63/C63)^3)*4</f>
        <v>579.15081896306583</v>
      </c>
      <c r="H63" s="404">
        <f>M18*J18^2</f>
        <v>0</v>
      </c>
      <c r="I63" s="405">
        <f t="shared" si="3"/>
        <v>0</v>
      </c>
      <c r="J63" s="406" t="str">
        <f t="shared" si="5"/>
        <v xml:space="preserve"> </v>
      </c>
      <c r="K63" s="406"/>
      <c r="L63" s="406"/>
      <c r="M63" s="406"/>
      <c r="N63" s="406"/>
      <c r="O63" s="406"/>
      <c r="P63" s="406"/>
      <c r="Q63" s="13"/>
      <c r="R63" s="13"/>
      <c r="S63" s="13"/>
      <c r="T63" s="13"/>
      <c r="U63" s="13"/>
      <c r="V63" s="13"/>
      <c r="W63" s="16" t="str">
        <f t="shared" si="4"/>
        <v xml:space="preserve"> </v>
      </c>
    </row>
    <row r="64" spans="2:23" ht="16">
      <c r="B64" s="13" t="s">
        <v>315</v>
      </c>
      <c r="C64" s="403">
        <v>284.94</v>
      </c>
      <c r="D64" s="403">
        <v>100</v>
      </c>
      <c r="E64" s="234" t="s">
        <v>316</v>
      </c>
      <c r="F64" s="13"/>
      <c r="G64" s="404">
        <f>((D64/C64)^3)*4</f>
        <v>0.17290188635098455</v>
      </c>
      <c r="H64" s="404">
        <f>O18*D18^2</f>
        <v>8.0000000000000016E-2</v>
      </c>
      <c r="I64" s="405">
        <f t="shared" si="3"/>
        <v>0</v>
      </c>
      <c r="J64" s="406" t="str">
        <f t="shared" si="5"/>
        <v xml:space="preserve"> </v>
      </c>
      <c r="K64" s="406"/>
      <c r="L64" s="406"/>
      <c r="M64" s="406"/>
      <c r="N64" s="406"/>
      <c r="O64" s="406"/>
      <c r="P64" s="406"/>
      <c r="Q64" s="13"/>
      <c r="R64" s="13"/>
      <c r="S64" s="13"/>
      <c r="T64" s="13"/>
      <c r="U64" s="13"/>
      <c r="V64" s="13"/>
      <c r="W64" s="16" t="str">
        <f t="shared" si="4"/>
        <v xml:space="preserve"> </v>
      </c>
    </row>
    <row r="65" spans="2:23" ht="16">
      <c r="B65" s="13" t="s">
        <v>317</v>
      </c>
      <c r="C65" s="403">
        <v>151</v>
      </c>
      <c r="D65" s="403">
        <v>520</v>
      </c>
      <c r="E65" s="234" t="s">
        <v>318</v>
      </c>
      <c r="F65" s="13"/>
      <c r="G65" s="404">
        <f>((D65/C65)^2)</f>
        <v>11.859128985570807</v>
      </c>
      <c r="H65" s="404">
        <f>O18*I18</f>
        <v>1.0065384649408822</v>
      </c>
      <c r="I65" s="405">
        <f t="shared" si="3"/>
        <v>0</v>
      </c>
      <c r="J65" s="406" t="str">
        <f t="shared" si="5"/>
        <v xml:space="preserve"> </v>
      </c>
      <c r="K65" s="406"/>
      <c r="L65" s="406"/>
      <c r="M65" s="406"/>
      <c r="N65" s="406"/>
      <c r="O65" s="406"/>
      <c r="P65" s="406"/>
      <c r="Q65" s="13"/>
      <c r="R65" s="13"/>
      <c r="S65" s="13"/>
      <c r="T65" s="13"/>
      <c r="U65" s="13"/>
      <c r="V65" s="13"/>
      <c r="W65" s="16" t="str">
        <f t="shared" si="4"/>
        <v xml:space="preserve"> </v>
      </c>
    </row>
    <row r="66" spans="2:23" ht="16">
      <c r="B66" s="13" t="s">
        <v>319</v>
      </c>
      <c r="C66" s="403">
        <v>197.91</v>
      </c>
      <c r="D66" s="403">
        <v>1510</v>
      </c>
      <c r="E66" s="234" t="s">
        <v>320</v>
      </c>
      <c r="F66" s="13"/>
      <c r="G66" s="404">
        <f>((D66/C66)^3)*4</f>
        <v>1776.5916508924176</v>
      </c>
      <c r="H66" s="404">
        <f>O18*J18^2</f>
        <v>0</v>
      </c>
      <c r="I66" s="405">
        <f t="shared" si="3"/>
        <v>0</v>
      </c>
      <c r="J66" s="406" t="str">
        <f t="shared" si="5"/>
        <v xml:space="preserve"> </v>
      </c>
      <c r="K66" s="406"/>
      <c r="L66" s="406"/>
      <c r="M66" s="406"/>
      <c r="N66" s="406"/>
      <c r="O66" s="406"/>
      <c r="P66" s="406"/>
      <c r="Q66" s="13"/>
      <c r="R66" s="13"/>
      <c r="S66" s="13"/>
      <c r="T66" s="13"/>
      <c r="U66" s="13"/>
      <c r="V66" s="13"/>
      <c r="W66" s="16" t="str">
        <f t="shared" si="4"/>
        <v xml:space="preserve"> </v>
      </c>
    </row>
    <row r="67" spans="2:23" ht="16">
      <c r="B67" s="13" t="s">
        <v>321</v>
      </c>
      <c r="C67" s="403">
        <v>297.48</v>
      </c>
      <c r="D67" s="403">
        <v>1843</v>
      </c>
      <c r="E67" s="234" t="s">
        <v>322</v>
      </c>
      <c r="F67" s="13"/>
      <c r="G67" s="404">
        <f>((D67/C67)^3)*4</f>
        <v>951.17993107832763</v>
      </c>
      <c r="H67" s="404">
        <f>N18*B18^2</f>
        <v>0.46180271721043448</v>
      </c>
      <c r="I67" s="405">
        <f t="shared" si="3"/>
        <v>0</v>
      </c>
      <c r="J67" s="406" t="str">
        <f t="shared" si="5"/>
        <v xml:space="preserve"> </v>
      </c>
      <c r="K67" s="406"/>
      <c r="L67" s="406"/>
      <c r="M67" s="406"/>
      <c r="N67" s="406"/>
      <c r="O67" s="406"/>
      <c r="P67" s="406"/>
      <c r="Q67" s="13"/>
      <c r="R67" s="13"/>
      <c r="S67" s="13"/>
      <c r="T67" s="13"/>
      <c r="U67" s="13"/>
      <c r="V67" s="13"/>
      <c r="W67" s="16" t="str">
        <f t="shared" si="4"/>
        <v xml:space="preserve"> </v>
      </c>
    </row>
    <row r="68" spans="2:23" ht="16">
      <c r="B68" s="13" t="s">
        <v>323</v>
      </c>
      <c r="C68" s="403">
        <v>295.39</v>
      </c>
      <c r="D68" s="403">
        <v>250</v>
      </c>
      <c r="E68" s="234" t="s">
        <v>324</v>
      </c>
      <c r="F68" s="13"/>
      <c r="G68" s="404">
        <f>((D68/C68)^3)*4</f>
        <v>2.4248933968089017</v>
      </c>
      <c r="H68" s="404">
        <f>N18*D18^2</f>
        <v>4.0000000000000008E-2</v>
      </c>
      <c r="I68" s="405">
        <f t="shared" si="3"/>
        <v>0</v>
      </c>
      <c r="J68" s="406" t="str">
        <f t="shared" si="5"/>
        <v xml:space="preserve"> </v>
      </c>
      <c r="K68" s="406"/>
      <c r="L68" s="406"/>
      <c r="M68" s="406"/>
      <c r="N68" s="406"/>
      <c r="O68" s="406"/>
      <c r="P68" s="406"/>
      <c r="Q68" s="13"/>
      <c r="R68" s="13"/>
      <c r="S68" s="13"/>
      <c r="T68" s="13"/>
      <c r="U68" s="13"/>
      <c r="V68" s="13"/>
      <c r="W68" s="16" t="str">
        <f t="shared" si="4"/>
        <v xml:space="preserve"> </v>
      </c>
    </row>
    <row r="69" spans="2:23" ht="16">
      <c r="B69" s="13" t="s">
        <v>325</v>
      </c>
      <c r="C69" s="403">
        <v>287.54000000000002</v>
      </c>
      <c r="D69" s="403">
        <v>965</v>
      </c>
      <c r="E69" s="234" t="s">
        <v>326</v>
      </c>
      <c r="F69" s="13"/>
      <c r="G69" s="404">
        <f>((D69/C69)^2)</f>
        <v>11.263103886150802</v>
      </c>
      <c r="H69" s="404">
        <f>N18*I18</f>
        <v>0.50326923247044109</v>
      </c>
      <c r="I69" s="405">
        <f t="shared" si="3"/>
        <v>0</v>
      </c>
      <c r="J69" s="406" t="str">
        <f t="shared" si="5"/>
        <v xml:space="preserve"> </v>
      </c>
      <c r="K69" s="406"/>
      <c r="L69" s="406"/>
      <c r="M69" s="406"/>
      <c r="N69" s="406"/>
      <c r="O69" s="406"/>
      <c r="P69" s="406"/>
      <c r="Q69" s="13"/>
      <c r="R69" s="13"/>
      <c r="S69" s="13"/>
      <c r="T69" s="13"/>
      <c r="U69" s="13"/>
      <c r="V69" s="13"/>
      <c r="W69" s="16" t="str">
        <f t="shared" si="4"/>
        <v xml:space="preserve"> </v>
      </c>
    </row>
    <row r="70" spans="2:23" ht="16">
      <c r="B70" s="13" t="s">
        <v>327</v>
      </c>
      <c r="C70" s="403">
        <v>136.29</v>
      </c>
      <c r="D70" s="403">
        <v>4320</v>
      </c>
      <c r="E70" s="234" t="s">
        <v>328</v>
      </c>
      <c r="F70" s="13"/>
      <c r="G70" s="404">
        <f>((D70/C70)^3)*4</f>
        <v>127385.28327031071</v>
      </c>
      <c r="H70" s="404">
        <f>N18*J18^2</f>
        <v>0</v>
      </c>
      <c r="I70" s="405">
        <f t="shared" si="3"/>
        <v>0</v>
      </c>
      <c r="J70" s="406" t="str">
        <f t="shared" si="5"/>
        <v xml:space="preserve"> </v>
      </c>
      <c r="K70" s="406"/>
      <c r="L70" s="406"/>
      <c r="M70" s="406"/>
      <c r="N70" s="406"/>
      <c r="O70" s="406"/>
      <c r="P70" s="406"/>
      <c r="Q70" s="13"/>
      <c r="R70" s="13"/>
      <c r="S70" s="13"/>
      <c r="T70" s="13"/>
      <c r="U70" s="13"/>
      <c r="V70" s="13"/>
      <c r="W70" s="16" t="str">
        <f t="shared" si="4"/>
        <v xml:space="preserve"> </v>
      </c>
    </row>
    <row r="71" spans="2:23" ht="14">
      <c r="B71" s="13"/>
      <c r="C71" s="13"/>
      <c r="D71" s="13"/>
      <c r="E71" s="234"/>
      <c r="F71" s="13"/>
      <c r="G71" s="545" t="s">
        <v>164</v>
      </c>
      <c r="H71" s="545"/>
      <c r="I71" s="410">
        <f>SUM(W41:W70)</f>
        <v>1</v>
      </c>
      <c r="J71" s="546" t="s">
        <v>165</v>
      </c>
      <c r="K71" s="546"/>
      <c r="L71" s="13"/>
      <c r="M71" s="13"/>
      <c r="N71" s="13"/>
      <c r="O71" s="13"/>
      <c r="P71" s="13"/>
      <c r="Q71" s="13"/>
      <c r="R71" s="13"/>
      <c r="S71" s="13"/>
      <c r="T71" s="13"/>
      <c r="U71" s="13"/>
      <c r="V71" s="13"/>
    </row>
    <row r="72" spans="2:23">
      <c r="B72" s="13"/>
      <c r="C72" s="13"/>
      <c r="D72" s="13"/>
      <c r="E72" s="234"/>
      <c r="F72" s="13"/>
      <c r="G72" s="13"/>
      <c r="H72" s="13"/>
      <c r="I72" s="13"/>
      <c r="J72" s="13"/>
      <c r="K72" s="13"/>
      <c r="L72" s="13"/>
      <c r="M72" s="13"/>
      <c r="N72" s="13"/>
      <c r="O72" s="13"/>
      <c r="P72" s="13"/>
      <c r="Q72" s="13"/>
      <c r="R72" s="13"/>
      <c r="S72" s="13"/>
      <c r="T72" s="13"/>
      <c r="U72" s="13"/>
      <c r="V72" s="13"/>
    </row>
    <row r="73" spans="2:23">
      <c r="B73" s="13"/>
      <c r="C73" s="13"/>
      <c r="D73" s="13"/>
      <c r="E73" s="234"/>
      <c r="F73" s="13"/>
      <c r="G73" s="13"/>
      <c r="H73" s="13"/>
      <c r="I73" s="13"/>
      <c r="J73" s="13"/>
      <c r="K73" s="13"/>
      <c r="L73" s="13"/>
      <c r="M73" s="13"/>
      <c r="N73" s="13"/>
      <c r="O73" s="13"/>
      <c r="P73" s="13"/>
      <c r="Q73" s="13"/>
      <c r="R73" s="13"/>
      <c r="S73" s="13"/>
      <c r="T73" s="13"/>
      <c r="U73" s="13"/>
      <c r="V73" s="13"/>
    </row>
    <row r="74" spans="2:23">
      <c r="B74" s="13"/>
      <c r="C74" s="13"/>
      <c r="D74" s="13"/>
      <c r="E74" s="234"/>
      <c r="F74" s="13"/>
      <c r="G74" s="13"/>
      <c r="H74" s="13"/>
      <c r="I74" s="13"/>
      <c r="J74" s="13"/>
      <c r="K74" s="13"/>
      <c r="L74" s="13"/>
      <c r="M74" s="13"/>
      <c r="N74" s="13"/>
      <c r="O74" s="13"/>
      <c r="P74" s="13"/>
      <c r="Q74" s="13"/>
      <c r="R74" s="13"/>
      <c r="S74" s="13"/>
      <c r="T74" s="13"/>
      <c r="U74" s="13"/>
      <c r="V74" s="13"/>
    </row>
    <row r="75" spans="2:23">
      <c r="B75" s="13"/>
      <c r="C75" s="13"/>
      <c r="D75" s="13"/>
      <c r="E75" s="234"/>
      <c r="F75" s="13"/>
      <c r="G75" s="13"/>
      <c r="H75" s="13"/>
      <c r="I75" s="13"/>
      <c r="J75" s="13"/>
      <c r="K75" s="13"/>
      <c r="L75" s="13"/>
      <c r="M75" s="13"/>
      <c r="N75" s="13"/>
      <c r="O75" s="13"/>
      <c r="P75" s="13"/>
      <c r="Q75" s="13"/>
      <c r="R75" s="13"/>
      <c r="S75" s="13"/>
      <c r="T75" s="13"/>
      <c r="U75" s="13"/>
      <c r="V75" s="13"/>
    </row>
    <row r="76" spans="2:23">
      <c r="B76" s="13"/>
      <c r="C76" s="13"/>
      <c r="D76" s="13"/>
      <c r="E76" s="234"/>
      <c r="F76" s="13"/>
      <c r="G76" s="13"/>
      <c r="H76" s="13"/>
      <c r="I76" s="13"/>
      <c r="J76" s="13"/>
      <c r="K76" s="13"/>
      <c r="L76" s="13"/>
      <c r="M76" s="13"/>
      <c r="N76" s="13"/>
      <c r="O76" s="13"/>
      <c r="P76" s="13"/>
      <c r="Q76" s="13"/>
      <c r="R76" s="13"/>
      <c r="S76" s="13"/>
      <c r="T76" s="13"/>
      <c r="U76" s="13"/>
      <c r="V76" s="13"/>
    </row>
    <row r="77" spans="2:23">
      <c r="B77" s="13"/>
      <c r="C77" s="13"/>
      <c r="D77" s="13"/>
      <c r="E77" s="234"/>
      <c r="F77" s="13"/>
      <c r="G77" s="13"/>
      <c r="H77" s="13"/>
      <c r="I77" s="13"/>
      <c r="J77" s="13"/>
      <c r="K77" s="13"/>
      <c r="L77" s="13"/>
      <c r="M77" s="13"/>
      <c r="N77" s="13"/>
      <c r="O77" s="13"/>
      <c r="P77" s="13"/>
      <c r="Q77" s="13"/>
      <c r="R77" s="13"/>
      <c r="S77" s="13"/>
      <c r="T77" s="13"/>
      <c r="U77" s="13"/>
      <c r="V77" s="13"/>
    </row>
    <row r="78" spans="2:23">
      <c r="B78" s="13"/>
      <c r="C78" s="13"/>
      <c r="D78" s="13"/>
      <c r="E78" s="234"/>
      <c r="F78" s="13"/>
      <c r="G78" s="13"/>
      <c r="H78" s="13"/>
      <c r="I78" s="13"/>
      <c r="J78" s="13"/>
      <c r="K78" s="13"/>
      <c r="L78" s="13"/>
      <c r="M78" s="13"/>
      <c r="N78" s="13"/>
      <c r="O78" s="13"/>
      <c r="P78" s="13"/>
      <c r="Q78" s="13"/>
      <c r="R78" s="13"/>
      <c r="S78" s="13"/>
      <c r="T78" s="13"/>
      <c r="U78" s="13"/>
      <c r="V78" s="13"/>
    </row>
    <row r="79" spans="2:23">
      <c r="B79" s="13"/>
      <c r="C79" s="13"/>
      <c r="D79" s="13"/>
      <c r="E79" s="234"/>
      <c r="F79" s="13"/>
      <c r="G79" s="13"/>
      <c r="H79" s="13"/>
      <c r="I79" s="13"/>
      <c r="J79" s="13"/>
      <c r="K79" s="13"/>
      <c r="L79" s="13"/>
      <c r="M79" s="13"/>
      <c r="N79" s="13"/>
      <c r="O79" s="13"/>
      <c r="P79" s="13"/>
      <c r="Q79" s="13"/>
      <c r="R79" s="13"/>
      <c r="S79" s="13"/>
      <c r="T79" s="13"/>
      <c r="U79" s="13"/>
      <c r="V79" s="13"/>
    </row>
    <row r="80" spans="2:23">
      <c r="B80" s="13"/>
      <c r="C80" s="13"/>
      <c r="D80" s="13"/>
      <c r="E80" s="234"/>
      <c r="F80" s="13"/>
      <c r="G80" s="13"/>
      <c r="H80" s="13"/>
      <c r="I80" s="13"/>
      <c r="J80" s="13"/>
      <c r="K80" s="13"/>
      <c r="L80" s="13"/>
      <c r="M80" s="13"/>
      <c r="N80" s="13"/>
      <c r="O80" s="13"/>
      <c r="P80" s="13"/>
      <c r="Q80" s="13"/>
      <c r="R80" s="13"/>
      <c r="S80" s="13"/>
      <c r="T80" s="13"/>
      <c r="U80" s="13"/>
      <c r="V80" s="13"/>
    </row>
    <row r="81" spans="2:22">
      <c r="B81" s="13"/>
      <c r="C81" s="13"/>
      <c r="D81" s="13"/>
      <c r="E81" s="234"/>
      <c r="F81" s="13"/>
      <c r="G81" s="13"/>
      <c r="H81" s="13"/>
      <c r="I81" s="13"/>
      <c r="J81" s="13"/>
      <c r="K81" s="13"/>
      <c r="L81" s="13"/>
      <c r="M81" s="13"/>
      <c r="N81" s="13"/>
      <c r="O81" s="13"/>
      <c r="P81" s="13"/>
      <c r="Q81" s="13"/>
      <c r="R81" s="13"/>
      <c r="S81" s="13"/>
      <c r="T81" s="13"/>
      <c r="U81" s="13"/>
      <c r="V81" s="13"/>
    </row>
    <row r="82" spans="2:22">
      <c r="K82" s="13"/>
      <c r="L82" s="13"/>
      <c r="M82" s="13"/>
      <c r="N82" s="13"/>
      <c r="O82" s="13"/>
      <c r="P82" s="13"/>
      <c r="Q82" s="13"/>
      <c r="R82" s="13"/>
      <c r="S82" s="13"/>
      <c r="T82" s="13"/>
      <c r="U82" s="13"/>
      <c r="V82" s="13"/>
    </row>
  </sheetData>
  <sheetProtection algorithmName="SHA-512" hashValue="5MUA+5Gfgi8D8dyDvBtN4EnMekJdsgizTcXOLHuwnlyZetCYNbZ+mkYhf++zetCApZzBge2yD2YQak8ZAi251Q==" saltValue="HaVCrR4tOXGWoOj0mUXtSg==" spinCount="100000" sheet="1" objects="1" scenarios="1"/>
  <mergeCells count="10">
    <mergeCell ref="G71:H71"/>
    <mergeCell ref="J71:K71"/>
    <mergeCell ref="E23:F23"/>
    <mergeCell ref="H7:K7"/>
    <mergeCell ref="E40:F40"/>
    <mergeCell ref="M7:P7"/>
    <mergeCell ref="H3:K3"/>
    <mergeCell ref="M3:P3"/>
    <mergeCell ref="H5:K5"/>
    <mergeCell ref="M5:P5"/>
  </mergeCells>
  <phoneticPr fontId="6" type="noConversion"/>
  <conditionalFormatting sqref="J24:P35 J41:P70">
    <cfRule type="expression" dxfId="2" priority="1" stopIfTrue="1">
      <formula>$H24&gt;$G24</formula>
    </cfRule>
  </conditionalFormatting>
  <conditionalFormatting sqref="I41:I70 I24:I35">
    <cfRule type="cellIs" dxfId="1" priority="2" stopIfTrue="1" operator="greaterThan">
      <formula>0</formula>
    </cfRule>
    <cfRule type="cellIs" dxfId="0" priority="3" stopIfTrue="1" operator="equal">
      <formula>0</formula>
    </cfRule>
  </conditionalFormatting>
  <hyperlinks>
    <hyperlink ref="H5:K5" location="'Formule nutritive'!A5" display="Recipe database"/>
    <hyperlink ref="H7:K7" location="Stampa!B1" display="Print  nutrient solution"/>
    <hyperlink ref="M5:P5" location="'Acidi &amp; concimi'!A5" display="Fertilizer and acid database"/>
    <hyperlink ref="H3:K3" location="Istruzioni!A1" display="Quick start guide"/>
    <hyperlink ref="M7:P7" location="Parametri!A1" display="Input"/>
    <hyperlink ref="M3:P3" location="Convertitore!A1" display="Unit converter  (ppm&gt; mM)"/>
  </hyperlinks>
  <pageMargins left="0.75" right="0.75" top="0.38" bottom="0.25" header="0.33" footer="0.24"/>
  <pageSetup paperSize="9" scale="66" orientation="landscape" horizontalDpi="4294967294" verticalDpi="300" r:id="rId1"/>
  <headerFooter alignWithMargins="0"/>
  <drawing r:id="rId2"/>
  <legacyDrawing r:id="rId3"/>
  <oleObjects>
    <mc:AlternateContent xmlns:mc="http://schemas.openxmlformats.org/markup-compatibility/2006">
      <mc:Choice Requires="x14">
        <oleObject progId="PBrush" shapeId="8263" r:id="rId4">
          <objectPr defaultSize="0" autoPict="0" r:id="rId5">
            <anchor moveWithCells="1">
              <from>
                <xdr:col>0</xdr:col>
                <xdr:colOff>0</xdr:colOff>
                <xdr:row>0</xdr:row>
                <xdr:rowOff>0</xdr:rowOff>
              </from>
              <to>
                <xdr:col>0</xdr:col>
                <xdr:colOff>685800</xdr:colOff>
                <xdr:row>3</xdr:row>
                <xdr:rowOff>57150</xdr:rowOff>
              </to>
            </anchor>
          </objectPr>
        </oleObject>
      </mc:Choice>
      <mc:Fallback>
        <oleObject progId="PBrush" shapeId="826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8">
    <pageSetUpPr fitToPage="1"/>
  </sheetPr>
  <dimension ref="A1:Z92"/>
  <sheetViews>
    <sheetView showRowColHeaders="0" zoomScale="101" zoomScaleNormal="101" workbookViewId="0">
      <selection sqref="A1:Q1"/>
    </sheetView>
  </sheetViews>
  <sheetFormatPr defaultColWidth="9" defaultRowHeight="12.5"/>
  <cols>
    <col min="1" max="1" width="11.33203125" style="16" customWidth="1"/>
    <col min="2" max="16384" width="9" style="16"/>
  </cols>
  <sheetData>
    <row r="1" spans="1:26" ht="15.5">
      <c r="A1" s="13"/>
      <c r="B1" s="13"/>
      <c r="E1" s="13"/>
      <c r="F1" s="13"/>
      <c r="G1" s="13"/>
      <c r="H1" s="95"/>
      <c r="I1" s="95"/>
      <c r="J1" s="95"/>
      <c r="K1" s="95"/>
      <c r="L1" s="95"/>
      <c r="M1" s="95"/>
      <c r="N1" s="95"/>
      <c r="O1" s="95"/>
      <c r="P1" s="95"/>
      <c r="Q1" s="95"/>
      <c r="R1" s="95"/>
      <c r="S1" s="13"/>
      <c r="T1" s="13"/>
      <c r="U1" s="13"/>
      <c r="V1" s="13"/>
      <c r="W1" s="13"/>
      <c r="X1" s="13"/>
      <c r="Y1" s="13"/>
      <c r="Z1" s="13"/>
    </row>
    <row r="2" spans="1:26" ht="22" customHeight="1">
      <c r="A2" s="13"/>
      <c r="B2" s="17" t="s">
        <v>170</v>
      </c>
      <c r="C2" s="13"/>
      <c r="D2" s="13"/>
      <c r="E2" s="13"/>
      <c r="F2" s="13"/>
      <c r="G2" s="13"/>
      <c r="H2" s="14"/>
      <c r="I2" s="466" t="s">
        <v>73</v>
      </c>
      <c r="J2" s="467"/>
      <c r="K2" s="467"/>
      <c r="L2" s="468"/>
      <c r="M2" s="19"/>
      <c r="N2" s="466" t="s">
        <v>184</v>
      </c>
      <c r="O2" s="467"/>
      <c r="P2" s="467"/>
      <c r="Q2" s="468"/>
      <c r="R2" s="14"/>
      <c r="S2" s="13"/>
      <c r="T2" s="13"/>
      <c r="U2" s="13"/>
      <c r="V2" s="13"/>
      <c r="W2" s="13"/>
      <c r="X2" s="13"/>
      <c r="Y2" s="13"/>
      <c r="Z2" s="13"/>
    </row>
    <row r="3" spans="1:26">
      <c r="A3" s="13"/>
      <c r="B3" s="13"/>
      <c r="C3" s="13"/>
      <c r="D3" s="13"/>
      <c r="E3" s="13"/>
      <c r="F3" s="13"/>
      <c r="G3" s="13"/>
      <c r="H3" s="14"/>
      <c r="I3" s="18"/>
      <c r="J3" s="18"/>
      <c r="K3" s="18"/>
      <c r="L3" s="18"/>
      <c r="M3" s="19"/>
      <c r="N3" s="18"/>
      <c r="O3" s="18"/>
      <c r="P3" s="18"/>
      <c r="Q3" s="18"/>
      <c r="R3" s="14"/>
      <c r="S3" s="13"/>
      <c r="T3" s="13"/>
      <c r="U3" s="13"/>
      <c r="V3" s="13"/>
      <c r="W3" s="13"/>
      <c r="X3" s="13"/>
      <c r="Y3" s="13"/>
      <c r="Z3" s="13"/>
    </row>
    <row r="4" spans="1:26" ht="22" customHeight="1">
      <c r="A4" s="13"/>
      <c r="B4" s="13"/>
      <c r="C4" s="13"/>
      <c r="D4" s="13"/>
      <c r="E4" s="13"/>
      <c r="F4" s="13"/>
      <c r="G4" s="13"/>
      <c r="H4" s="14"/>
      <c r="I4" s="466" t="s">
        <v>181</v>
      </c>
      <c r="J4" s="467"/>
      <c r="K4" s="467"/>
      <c r="L4" s="468"/>
      <c r="M4" s="138"/>
      <c r="N4" s="466" t="s">
        <v>182</v>
      </c>
      <c r="O4" s="467"/>
      <c r="P4" s="467"/>
      <c r="Q4" s="468"/>
      <c r="R4" s="14"/>
      <c r="S4" s="13"/>
      <c r="T4" s="13"/>
      <c r="U4" s="13"/>
      <c r="V4" s="13"/>
      <c r="W4" s="13"/>
      <c r="X4" s="13"/>
      <c r="Y4" s="13"/>
      <c r="Z4" s="13"/>
    </row>
    <row r="5" spans="1:26">
      <c r="A5" s="13"/>
      <c r="B5" s="13"/>
      <c r="C5" s="13"/>
      <c r="D5" s="13"/>
      <c r="E5" s="13"/>
      <c r="F5" s="13"/>
      <c r="G5" s="13"/>
      <c r="H5" s="14"/>
      <c r="I5" s="18"/>
      <c r="J5" s="18"/>
      <c r="K5" s="18"/>
      <c r="L5" s="18"/>
      <c r="M5" s="19"/>
      <c r="N5" s="18"/>
      <c r="O5" s="18"/>
      <c r="P5" s="18"/>
      <c r="Q5" s="18"/>
      <c r="R5" s="14"/>
      <c r="S5" s="13"/>
      <c r="T5" s="13"/>
      <c r="U5" s="13"/>
      <c r="V5" s="13"/>
      <c r="W5" s="13"/>
      <c r="X5" s="13"/>
      <c r="Y5" s="13"/>
      <c r="Z5" s="13"/>
    </row>
    <row r="6" spans="1:26" ht="22" customHeight="1">
      <c r="A6" s="13"/>
      <c r="B6" s="13"/>
      <c r="C6" s="13"/>
      <c r="D6" s="13"/>
      <c r="E6" s="13"/>
      <c r="F6" s="13"/>
      <c r="G6" s="13"/>
      <c r="H6" s="14"/>
      <c r="I6" s="466" t="s">
        <v>183</v>
      </c>
      <c r="J6" s="467"/>
      <c r="K6" s="467"/>
      <c r="L6" s="468"/>
      <c r="M6" s="19"/>
      <c r="N6" s="466" t="s">
        <v>172</v>
      </c>
      <c r="O6" s="467"/>
      <c r="P6" s="467"/>
      <c r="Q6" s="468"/>
      <c r="R6" s="14"/>
      <c r="S6" s="13"/>
      <c r="T6" s="13"/>
      <c r="U6" s="13"/>
      <c r="V6" s="13"/>
      <c r="W6" s="13"/>
      <c r="X6" s="13"/>
      <c r="Y6" s="13"/>
      <c r="Z6" s="13"/>
    </row>
    <row r="7" spans="1:26">
      <c r="A7" s="13"/>
      <c r="B7" s="13"/>
      <c r="C7" s="13"/>
      <c r="E7" s="13"/>
      <c r="G7" s="13"/>
      <c r="H7" s="13"/>
      <c r="I7" s="13"/>
      <c r="J7" s="13"/>
      <c r="K7" s="13"/>
      <c r="L7" s="13"/>
      <c r="M7" s="13"/>
      <c r="N7" s="13"/>
      <c r="O7" s="13"/>
      <c r="P7" s="13"/>
      <c r="Q7" s="13"/>
      <c r="R7" s="13"/>
      <c r="S7" s="13"/>
      <c r="T7" s="13"/>
      <c r="U7" s="13"/>
      <c r="V7" s="13"/>
      <c r="W7" s="13"/>
      <c r="X7" s="13"/>
      <c r="Y7" s="13"/>
      <c r="Z7" s="13"/>
    </row>
    <row r="8" spans="1:26">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4">
      <c r="A9" s="411"/>
      <c r="B9" s="411"/>
      <c r="C9" s="411"/>
      <c r="D9" s="411"/>
      <c r="E9" s="411"/>
      <c r="F9" s="411"/>
      <c r="G9" s="411"/>
      <c r="H9" s="411"/>
      <c r="I9" s="411"/>
      <c r="J9" s="411"/>
      <c r="K9" s="411"/>
      <c r="L9" s="411"/>
      <c r="M9" s="411"/>
      <c r="N9" s="411"/>
      <c r="O9" s="411"/>
      <c r="P9" s="411"/>
      <c r="Q9" s="411"/>
      <c r="R9" s="13"/>
      <c r="S9" s="13"/>
      <c r="T9" s="13"/>
      <c r="U9" s="13"/>
      <c r="V9" s="13"/>
      <c r="W9" s="13"/>
      <c r="X9" s="13"/>
      <c r="Y9" s="13"/>
      <c r="Z9" s="13"/>
    </row>
    <row r="10" spans="1:26" ht="15.5">
      <c r="B10" s="439" t="s">
        <v>335</v>
      </c>
      <c r="C10" s="411"/>
      <c r="D10" s="411"/>
      <c r="E10" s="411"/>
      <c r="F10" s="411"/>
      <c r="G10" s="411"/>
      <c r="H10" s="411"/>
      <c r="I10" s="411"/>
      <c r="J10" s="411"/>
      <c r="K10" s="411"/>
      <c r="L10" s="411"/>
      <c r="M10" s="411"/>
      <c r="N10" s="411"/>
      <c r="O10" s="411"/>
      <c r="P10" s="411"/>
      <c r="Q10" s="411"/>
      <c r="R10" s="13"/>
      <c r="S10" s="13"/>
      <c r="T10" s="13"/>
      <c r="U10" s="13"/>
      <c r="V10" s="13"/>
      <c r="W10" s="13"/>
      <c r="X10" s="13"/>
      <c r="Y10" s="13"/>
      <c r="Z10" s="13"/>
    </row>
    <row r="11" spans="1:26" ht="15.5">
      <c r="A11" s="13"/>
      <c r="B11" s="439" t="s">
        <v>336</v>
      </c>
      <c r="C11" s="411"/>
      <c r="D11" s="411"/>
      <c r="E11" s="411"/>
      <c r="F11" s="411"/>
      <c r="G11" s="411"/>
      <c r="H11" s="411"/>
      <c r="I11" s="411"/>
      <c r="J11" s="411"/>
      <c r="K11" s="411"/>
      <c r="L11" s="411"/>
      <c r="M11" s="411"/>
      <c r="N11" s="411"/>
      <c r="O11" s="411"/>
      <c r="P11" s="411"/>
      <c r="Q11" s="411"/>
      <c r="R11" s="13"/>
      <c r="S11" s="13"/>
      <c r="T11" s="13"/>
      <c r="U11" s="13"/>
      <c r="V11" s="13"/>
      <c r="W11" s="13"/>
      <c r="X11" s="13"/>
      <c r="Y11" s="13"/>
      <c r="Z11" s="13"/>
    </row>
    <row r="12" spans="1:26" ht="14">
      <c r="A12" s="418"/>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22.5" customHeight="1">
      <c r="A13" s="411"/>
      <c r="B13" s="147" t="s">
        <v>173</v>
      </c>
      <c r="C13" s="147" t="s">
        <v>174</v>
      </c>
      <c r="D13" s="147" t="s">
        <v>175</v>
      </c>
      <c r="E13" s="147" t="s">
        <v>176</v>
      </c>
      <c r="F13" s="147" t="s">
        <v>7</v>
      </c>
      <c r="G13" s="147" t="s">
        <v>8</v>
      </c>
      <c r="H13" s="147" t="s">
        <v>9</v>
      </c>
      <c r="I13" s="147" t="s">
        <v>10</v>
      </c>
      <c r="J13" s="147" t="s">
        <v>177</v>
      </c>
      <c r="K13" s="147" t="s">
        <v>12</v>
      </c>
      <c r="L13" s="147" t="s">
        <v>13</v>
      </c>
      <c r="M13" s="147" t="s">
        <v>14</v>
      </c>
      <c r="N13" s="147" t="s">
        <v>15</v>
      </c>
      <c r="O13" s="147" t="s">
        <v>16</v>
      </c>
      <c r="P13" s="147" t="s">
        <v>17</v>
      </c>
      <c r="Q13" s="147" t="s">
        <v>18</v>
      </c>
      <c r="R13" s="13"/>
      <c r="S13" s="13"/>
      <c r="T13" s="13"/>
      <c r="U13" s="13"/>
      <c r="V13" s="13"/>
      <c r="W13" s="13"/>
      <c r="X13" s="13"/>
      <c r="Y13" s="13"/>
      <c r="Z13" s="13"/>
    </row>
    <row r="14" spans="1:26" ht="22.5" customHeight="1">
      <c r="A14" s="438" t="s">
        <v>70</v>
      </c>
      <c r="B14" s="428"/>
      <c r="C14" s="428"/>
      <c r="D14" s="429"/>
      <c r="E14" s="428"/>
      <c r="F14" s="428"/>
      <c r="G14" s="428"/>
      <c r="H14" s="156"/>
      <c r="I14" s="428"/>
      <c r="J14" s="429"/>
      <c r="K14" s="428"/>
      <c r="L14" s="428"/>
      <c r="M14" s="429"/>
      <c r="N14" s="428"/>
      <c r="O14" s="428"/>
      <c r="P14" s="429"/>
      <c r="Q14" s="156"/>
      <c r="R14" s="13"/>
      <c r="S14" s="13"/>
      <c r="T14" s="13"/>
      <c r="U14" s="13"/>
      <c r="V14" s="13"/>
      <c r="W14" s="13"/>
      <c r="X14" s="13"/>
      <c r="Y14" s="13"/>
      <c r="Z14" s="13"/>
    </row>
    <row r="15" spans="1:26" s="237" customFormat="1" ht="22.5" customHeight="1">
      <c r="A15" s="438" t="s">
        <v>332</v>
      </c>
      <c r="B15" s="436">
        <v>61</v>
      </c>
      <c r="C15" s="436">
        <v>14.007</v>
      </c>
      <c r="D15" s="437">
        <v>14.007</v>
      </c>
      <c r="E15" s="436">
        <v>30.974</v>
      </c>
      <c r="F15" s="436">
        <v>39.1</v>
      </c>
      <c r="G15" s="436">
        <v>40.08</v>
      </c>
      <c r="H15" s="437">
        <v>24.312000000000001</v>
      </c>
      <c r="I15" s="436">
        <v>22.989799999999999</v>
      </c>
      <c r="J15" s="437">
        <v>32.064</v>
      </c>
      <c r="K15" s="436">
        <v>35.472999999999999</v>
      </c>
      <c r="L15" s="436">
        <v>55.85</v>
      </c>
      <c r="M15" s="437">
        <v>10.8</v>
      </c>
      <c r="N15" s="436">
        <v>63.55</v>
      </c>
      <c r="O15" s="436">
        <v>65.38</v>
      </c>
      <c r="P15" s="437">
        <v>54.94</v>
      </c>
      <c r="Q15" s="436">
        <v>95.95</v>
      </c>
      <c r="R15" s="236"/>
      <c r="S15" s="236"/>
      <c r="T15" s="236"/>
      <c r="U15" s="236"/>
      <c r="V15" s="236"/>
      <c r="W15" s="236"/>
      <c r="X15" s="236"/>
      <c r="Y15" s="236"/>
      <c r="Z15" s="236"/>
    </row>
    <row r="16" spans="1:26" s="237" customFormat="1" ht="22.5" customHeight="1">
      <c r="A16" s="239"/>
      <c r="B16" s="547" t="s">
        <v>75</v>
      </c>
      <c r="C16" s="548"/>
      <c r="D16" s="548"/>
      <c r="E16" s="548"/>
      <c r="F16" s="548"/>
      <c r="G16" s="548"/>
      <c r="H16" s="548"/>
      <c r="I16" s="548"/>
      <c r="J16" s="548"/>
      <c r="K16" s="549"/>
      <c r="L16" s="547" t="s">
        <v>76</v>
      </c>
      <c r="M16" s="548"/>
      <c r="N16" s="548"/>
      <c r="O16" s="548"/>
      <c r="P16" s="548"/>
      <c r="Q16" s="549"/>
      <c r="R16" s="236"/>
      <c r="S16" s="236"/>
      <c r="T16" s="236"/>
      <c r="U16" s="236"/>
      <c r="V16" s="236"/>
      <c r="W16" s="236"/>
      <c r="X16" s="236"/>
      <c r="Y16" s="236"/>
      <c r="Z16" s="236"/>
    </row>
    <row r="17" spans="1:26" ht="22.5" customHeight="1">
      <c r="A17" s="430"/>
      <c r="B17" s="431">
        <f t="shared" ref="B17:K17" si="0">B14/B15</f>
        <v>0</v>
      </c>
      <c r="C17" s="432">
        <f>C14/C15</f>
        <v>0</v>
      </c>
      <c r="D17" s="433">
        <f t="shared" si="0"/>
        <v>0</v>
      </c>
      <c r="E17" s="433">
        <f t="shared" si="0"/>
        <v>0</v>
      </c>
      <c r="F17" s="432">
        <f t="shared" si="0"/>
        <v>0</v>
      </c>
      <c r="G17" s="433">
        <f t="shared" si="0"/>
        <v>0</v>
      </c>
      <c r="H17" s="433">
        <f t="shared" si="0"/>
        <v>0</v>
      </c>
      <c r="I17" s="433">
        <f t="shared" si="0"/>
        <v>0</v>
      </c>
      <c r="J17" s="433">
        <f t="shared" si="0"/>
        <v>0</v>
      </c>
      <c r="K17" s="432">
        <f t="shared" si="0"/>
        <v>0</v>
      </c>
      <c r="L17" s="434">
        <f t="shared" ref="L17:Q17" si="1">L14/L15*1000</f>
        <v>0</v>
      </c>
      <c r="M17" s="434">
        <f t="shared" si="1"/>
        <v>0</v>
      </c>
      <c r="N17" s="434">
        <f t="shared" si="1"/>
        <v>0</v>
      </c>
      <c r="O17" s="434">
        <f t="shared" si="1"/>
        <v>0</v>
      </c>
      <c r="P17" s="434">
        <f t="shared" si="1"/>
        <v>0</v>
      </c>
      <c r="Q17" s="434">
        <f t="shared" si="1"/>
        <v>0</v>
      </c>
      <c r="R17" s="13"/>
      <c r="S17" s="13"/>
      <c r="T17" s="13"/>
      <c r="U17" s="13"/>
      <c r="V17" s="13"/>
      <c r="W17" s="13"/>
      <c r="X17" s="13"/>
      <c r="Y17" s="13"/>
      <c r="Z17" s="13"/>
    </row>
    <row r="18" spans="1:26">
      <c r="A18" s="13"/>
      <c r="B18" s="13"/>
      <c r="C18" s="435"/>
      <c r="D18" s="13"/>
      <c r="E18" s="13"/>
      <c r="F18" s="435"/>
      <c r="G18" s="13"/>
      <c r="H18" s="13"/>
      <c r="I18" s="13"/>
      <c r="J18" s="13"/>
      <c r="K18" s="435"/>
      <c r="L18" s="13"/>
      <c r="M18" s="435"/>
      <c r="N18" s="13"/>
      <c r="O18" s="13"/>
      <c r="P18" s="13"/>
      <c r="Q18" s="13"/>
      <c r="R18" s="13"/>
      <c r="S18" s="13"/>
      <c r="T18" s="13"/>
      <c r="U18" s="13"/>
      <c r="V18" s="13"/>
      <c r="W18" s="13"/>
      <c r="X18" s="13"/>
      <c r="Y18" s="13"/>
      <c r="Z18" s="13"/>
    </row>
    <row r="19" spans="1:26">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sheetData>
  <sheetProtection algorithmName="SHA-512" hashValue="m4f4QN/3bgO+cZDt764u2G+UTw8zpKaK5gcN//oFtaTelzvhE9lqjzTHUaV7Sp2UmyvaEo8PdcMGQQcl1CSJTQ==" saltValue="GFql4RhfE1KVg19ha8cSmQ==" spinCount="100000" sheet="1" objects="1" scenarios="1"/>
  <mergeCells count="8">
    <mergeCell ref="B16:K16"/>
    <mergeCell ref="L16:Q16"/>
    <mergeCell ref="I2:L2"/>
    <mergeCell ref="N2:Q2"/>
    <mergeCell ref="I4:L4"/>
    <mergeCell ref="N4:Q4"/>
    <mergeCell ref="I6:L6"/>
    <mergeCell ref="N6:Q6"/>
  </mergeCells>
  <phoneticPr fontId="6" type="noConversion"/>
  <hyperlinks>
    <hyperlink ref="I4:L4" location="'Formule nutritive'!A5" display="Recipe database"/>
    <hyperlink ref="I6:L6" location="Stampa!B1" display="Print  nutrient solution"/>
    <hyperlink ref="N2:Q2" location="Calcolo!F11" display="Calculation sheet"/>
    <hyperlink ref="N4:Q4" location="'Acidi &amp; concimi'!A5" display="Fertilizer and acid database"/>
    <hyperlink ref="I2:L2" location="Istruzioni!A1" display="Quick start guide"/>
    <hyperlink ref="N6:Q6" location="Parametri!A1" display="Inputs"/>
  </hyperlinks>
  <pageMargins left="0.75" right="0.75" top="1" bottom="1" header="0.5" footer="0.5"/>
  <pageSetup paperSize="9" scale="75" orientation="landscape" horizontalDpi="4294967294" verticalDpi="1200" r:id="rId1"/>
  <headerFooter alignWithMargins="0"/>
  <drawing r:id="rId2"/>
  <legacyDrawing r:id="rId3"/>
  <oleObjects>
    <mc:AlternateContent xmlns:mc="http://schemas.openxmlformats.org/markup-compatibility/2006">
      <mc:Choice Requires="x14">
        <oleObject progId="PBrush" shapeId="9218" r:id="rId4">
          <objectPr defaultSize="0" autoPict="0" r:id="rId5">
            <anchor moveWithCells="1">
              <from>
                <xdr:col>0</xdr:col>
                <xdr:colOff>0</xdr:colOff>
                <xdr:row>0</xdr:row>
                <xdr:rowOff>76200</xdr:rowOff>
              </from>
              <to>
                <xdr:col>0</xdr:col>
                <xdr:colOff>685800</xdr:colOff>
                <xdr:row>3</xdr:row>
                <xdr:rowOff>165100</xdr:rowOff>
              </to>
            </anchor>
          </objectPr>
        </oleObject>
      </mc:Choice>
      <mc:Fallback>
        <oleObject progId="PBrush" shapeId="9218"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Button 1">
              <controlPr defaultSize="0" print="0" autoFill="0" autoPict="0" macro="[0]!Trasferisci_ris">
                <anchor moveWithCells="1" sizeWithCells="1">
                  <from>
                    <xdr:col>0</xdr:col>
                    <xdr:colOff>520700</xdr:colOff>
                    <xdr:row>19</xdr:row>
                    <xdr:rowOff>6350</xdr:rowOff>
                  </from>
                  <to>
                    <xdr:col>4</xdr:col>
                    <xdr:colOff>400050</xdr:colOff>
                    <xdr:row>22</xdr:row>
                    <xdr:rowOff>82550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4"/>
  <dimension ref="A1:V23"/>
  <sheetViews>
    <sheetView showRowColHeaders="0" workbookViewId="0">
      <selection activeCell="K9" sqref="K9:L9"/>
    </sheetView>
  </sheetViews>
  <sheetFormatPr defaultRowHeight="15.5"/>
  <cols>
    <col min="2" max="2" width="9.33203125" customWidth="1"/>
    <col min="3" max="3" width="12.08203125" customWidth="1"/>
    <col min="4" max="4" width="10.33203125" customWidth="1"/>
    <col min="5" max="6" width="10.75" customWidth="1"/>
    <col min="7" max="7" width="11.83203125" customWidth="1"/>
    <col min="8" max="8" width="11" customWidth="1"/>
    <col min="10" max="10" width="10.08203125" customWidth="1"/>
  </cols>
  <sheetData>
    <row r="1" spans="1:22" ht="16.5">
      <c r="A1" s="450"/>
      <c r="B1" s="130"/>
      <c r="C1" s="450"/>
      <c r="D1" s="450"/>
      <c r="E1" s="450"/>
      <c r="F1" s="450"/>
      <c r="G1" s="450"/>
      <c r="H1" s="450"/>
      <c r="I1" s="450"/>
      <c r="J1" s="450"/>
      <c r="K1" s="450"/>
      <c r="L1" s="450"/>
      <c r="M1" s="450"/>
      <c r="N1" s="450"/>
      <c r="O1" s="463"/>
      <c r="P1" s="463"/>
      <c r="Q1" s="463"/>
      <c r="R1" s="463"/>
      <c r="S1" s="463"/>
      <c r="T1" s="463"/>
      <c r="U1" s="463"/>
      <c r="V1" s="463"/>
    </row>
    <row r="2" spans="1:22" ht="23">
      <c r="A2" s="450"/>
      <c r="B2" s="130"/>
      <c r="C2" s="448" t="s">
        <v>361</v>
      </c>
      <c r="D2" s="448"/>
      <c r="E2" s="450"/>
      <c r="F2" s="131"/>
      <c r="G2" s="131"/>
      <c r="H2" s="451"/>
      <c r="I2" s="451"/>
      <c r="J2" s="451"/>
      <c r="K2" s="451"/>
      <c r="L2" s="131"/>
      <c r="M2" s="131"/>
      <c r="N2" s="131"/>
      <c r="O2" s="463"/>
      <c r="P2" s="463"/>
      <c r="Q2" s="463"/>
      <c r="R2" s="463"/>
      <c r="S2" s="463"/>
      <c r="T2" s="463"/>
      <c r="U2" s="463"/>
      <c r="V2" s="463"/>
    </row>
    <row r="3" spans="1:22" ht="23">
      <c r="A3" s="131"/>
      <c r="B3" s="452"/>
      <c r="C3" s="453"/>
      <c r="D3" s="453"/>
      <c r="E3" s="453"/>
      <c r="F3" s="453"/>
      <c r="G3" s="453"/>
      <c r="H3" s="453"/>
      <c r="I3" s="453"/>
      <c r="J3" s="453"/>
      <c r="K3" s="453"/>
      <c r="L3" s="131"/>
      <c r="M3" s="131"/>
      <c r="N3" s="131"/>
      <c r="O3" s="463"/>
      <c r="P3" s="463"/>
      <c r="Q3" s="463"/>
      <c r="R3" s="463"/>
      <c r="S3" s="463"/>
      <c r="T3" s="463"/>
      <c r="U3" s="463"/>
      <c r="V3" s="463"/>
    </row>
    <row r="4" spans="1:22" ht="15" customHeight="1">
      <c r="A4" s="131"/>
      <c r="B4" s="452"/>
      <c r="C4" s="556"/>
      <c r="D4" s="556"/>
      <c r="E4" s="556"/>
      <c r="F4" s="556"/>
      <c r="G4" s="453"/>
      <c r="H4" s="451"/>
      <c r="I4" s="451"/>
      <c r="J4" s="451"/>
      <c r="K4" s="451"/>
      <c r="L4" s="450"/>
      <c r="M4" s="450"/>
      <c r="N4" s="450"/>
      <c r="O4" s="463"/>
      <c r="P4" s="463"/>
      <c r="Q4" s="463"/>
      <c r="R4" s="463"/>
      <c r="S4" s="463"/>
      <c r="T4" s="463"/>
      <c r="U4" s="463"/>
      <c r="V4" s="463"/>
    </row>
    <row r="5" spans="1:22" ht="18.5">
      <c r="A5" s="450"/>
      <c r="B5" s="132"/>
      <c r="C5" s="453"/>
      <c r="D5" s="453"/>
      <c r="E5" s="453"/>
      <c r="F5" s="453"/>
      <c r="G5" s="453"/>
      <c r="H5" s="453"/>
      <c r="I5" s="453"/>
      <c r="J5" s="453"/>
      <c r="K5" s="453"/>
      <c r="L5" s="450"/>
      <c r="M5" s="450"/>
      <c r="N5" s="450"/>
      <c r="O5" s="463"/>
      <c r="P5" s="463"/>
      <c r="Q5" s="463"/>
      <c r="R5" s="463"/>
      <c r="S5" s="463"/>
      <c r="T5" s="463"/>
      <c r="U5" s="463"/>
      <c r="V5" s="463"/>
    </row>
    <row r="6" spans="1:22" ht="16.5">
      <c r="A6" s="450"/>
      <c r="B6" s="557" t="s">
        <v>357</v>
      </c>
      <c r="C6" s="557"/>
      <c r="D6" s="557"/>
      <c r="E6" s="557"/>
      <c r="F6" s="557"/>
      <c r="G6" s="557"/>
      <c r="H6" s="557"/>
      <c r="I6" s="557"/>
      <c r="J6" s="557"/>
      <c r="K6" s="557"/>
      <c r="L6" s="450"/>
      <c r="M6" s="450"/>
      <c r="N6" s="450"/>
      <c r="O6" s="463"/>
      <c r="P6" s="463"/>
      <c r="Q6" s="463"/>
      <c r="R6" s="463"/>
      <c r="S6" s="463"/>
      <c r="T6" s="463"/>
      <c r="U6" s="463"/>
      <c r="V6" s="463"/>
    </row>
    <row r="7" spans="1:22" ht="16.5">
      <c r="A7" s="450"/>
      <c r="B7" s="133"/>
      <c r="C7" s="453"/>
      <c r="D7" s="453"/>
      <c r="E7" s="453"/>
      <c r="F7" s="453"/>
      <c r="G7" s="453"/>
      <c r="H7" s="453"/>
      <c r="I7" s="453"/>
      <c r="J7" s="453"/>
      <c r="K7" s="453"/>
      <c r="L7" s="453"/>
      <c r="M7" s="450"/>
      <c r="N7" s="450"/>
      <c r="O7" s="463"/>
      <c r="P7" s="463"/>
      <c r="Q7" s="463"/>
      <c r="R7" s="463"/>
      <c r="S7" s="463"/>
      <c r="T7" s="463"/>
      <c r="U7" s="463"/>
      <c r="V7" s="463"/>
    </row>
    <row r="8" spans="1:22" ht="46.5" customHeight="1">
      <c r="A8" s="450"/>
      <c r="B8" s="550" t="s">
        <v>358</v>
      </c>
      <c r="C8" s="550"/>
      <c r="D8" s="550"/>
      <c r="E8" s="550"/>
      <c r="F8" s="550"/>
      <c r="G8" s="550"/>
      <c r="H8" s="550"/>
      <c r="I8" s="550"/>
      <c r="J8" s="550"/>
      <c r="K8" s="454"/>
      <c r="L8" s="455"/>
      <c r="M8" s="456"/>
      <c r="N8" s="456"/>
      <c r="O8" s="463"/>
      <c r="P8" s="463"/>
      <c r="Q8" s="463"/>
      <c r="R8" s="463"/>
      <c r="S8" s="463"/>
      <c r="T8" s="463"/>
      <c r="U8" s="463"/>
      <c r="V8" s="463"/>
    </row>
    <row r="9" spans="1:22" ht="21.75" customHeight="1">
      <c r="A9" s="450"/>
      <c r="B9" s="133"/>
      <c r="C9" s="453"/>
      <c r="D9" s="453"/>
      <c r="E9" s="453"/>
      <c r="F9" s="453"/>
      <c r="G9" s="450"/>
      <c r="H9" s="450"/>
      <c r="I9" s="450"/>
      <c r="J9" s="453"/>
      <c r="K9" s="552" t="s">
        <v>356</v>
      </c>
      <c r="L9" s="553"/>
      <c r="M9" s="450"/>
      <c r="N9" s="450"/>
      <c r="O9" s="463"/>
      <c r="P9" s="463"/>
      <c r="Q9" s="463"/>
      <c r="R9" s="463"/>
      <c r="S9" s="463"/>
      <c r="T9" s="463"/>
      <c r="U9" s="463"/>
      <c r="V9" s="463"/>
    </row>
    <row r="10" spans="1:22" ht="16.5">
      <c r="A10" s="450"/>
      <c r="B10" s="557" t="s">
        <v>355</v>
      </c>
      <c r="C10" s="557"/>
      <c r="D10" s="557"/>
      <c r="E10" s="557"/>
      <c r="F10" s="557"/>
      <c r="G10" s="557"/>
      <c r="H10" s="557"/>
      <c r="I10" s="450"/>
      <c r="J10" s="455"/>
      <c r="K10" s="454"/>
      <c r="L10" s="455"/>
      <c r="M10" s="450"/>
      <c r="N10" s="450"/>
      <c r="O10" s="463"/>
      <c r="P10" s="463"/>
      <c r="Q10" s="463"/>
      <c r="R10" s="463"/>
      <c r="S10" s="463"/>
      <c r="T10" s="463"/>
      <c r="U10" s="463"/>
      <c r="V10" s="463"/>
    </row>
    <row r="11" spans="1:22">
      <c r="A11" s="450"/>
      <c r="B11" s="457"/>
      <c r="C11" s="458"/>
      <c r="D11" s="458"/>
      <c r="E11" s="458"/>
      <c r="F11" s="458"/>
      <c r="G11" s="459"/>
      <c r="H11" s="459"/>
      <c r="I11" s="459"/>
      <c r="J11" s="458"/>
      <c r="K11" s="459"/>
      <c r="L11" s="453"/>
      <c r="M11" s="450"/>
      <c r="N11" s="450"/>
      <c r="O11" s="463"/>
      <c r="P11" s="463"/>
      <c r="Q11" s="463"/>
      <c r="R11" s="463"/>
      <c r="S11" s="463"/>
      <c r="T11" s="463"/>
      <c r="U11" s="463"/>
      <c r="V11" s="463"/>
    </row>
    <row r="12" spans="1:22" ht="69" customHeight="1">
      <c r="A12" s="460"/>
      <c r="B12" s="551" t="s">
        <v>359</v>
      </c>
      <c r="C12" s="551"/>
      <c r="D12" s="551"/>
      <c r="E12" s="551"/>
      <c r="F12" s="551"/>
      <c r="G12" s="551"/>
      <c r="H12" s="551"/>
      <c r="I12" s="551"/>
      <c r="J12" s="551"/>
      <c r="K12" s="460"/>
      <c r="L12" s="460"/>
      <c r="M12" s="460"/>
      <c r="N12" s="460"/>
      <c r="O12" s="463"/>
      <c r="P12" s="463"/>
      <c r="Q12" s="463"/>
      <c r="R12" s="463"/>
      <c r="S12" s="463"/>
      <c r="T12" s="463"/>
      <c r="U12" s="463"/>
      <c r="V12" s="463"/>
    </row>
    <row r="13" spans="1:22" ht="15.75" customHeight="1">
      <c r="A13" s="450"/>
      <c r="B13" s="461"/>
      <c r="C13" s="462"/>
      <c r="D13" s="462"/>
      <c r="E13" s="462"/>
      <c r="F13" s="462"/>
      <c r="G13" s="462"/>
      <c r="H13" s="462"/>
      <c r="I13" s="462"/>
      <c r="J13" s="462"/>
      <c r="K13" s="462"/>
      <c r="L13" s="450"/>
      <c r="M13" s="450"/>
      <c r="N13" s="450"/>
      <c r="O13" s="463"/>
      <c r="P13" s="463"/>
      <c r="Q13" s="463"/>
      <c r="R13" s="463"/>
      <c r="S13" s="463"/>
      <c r="T13" s="463"/>
      <c r="U13" s="463"/>
      <c r="V13" s="463"/>
    </row>
    <row r="14" spans="1:22" ht="53.25" customHeight="1">
      <c r="A14" s="450"/>
      <c r="B14" s="449"/>
      <c r="C14" s="554" t="s">
        <v>360</v>
      </c>
      <c r="D14" s="554"/>
      <c r="E14" s="554"/>
      <c r="F14" s="554"/>
      <c r="G14" s="554"/>
      <c r="H14" s="554"/>
      <c r="I14" s="554"/>
      <c r="J14" s="554"/>
      <c r="K14" s="554"/>
      <c r="L14" s="554"/>
      <c r="M14" s="450"/>
      <c r="N14" s="450"/>
      <c r="O14" s="463"/>
      <c r="P14" s="463"/>
      <c r="Q14" s="463"/>
      <c r="R14" s="463"/>
      <c r="S14" s="463"/>
      <c r="T14" s="463"/>
      <c r="U14" s="463"/>
      <c r="V14" s="463"/>
    </row>
    <row r="15" spans="1:22" ht="16.5">
      <c r="A15" s="450"/>
      <c r="B15" s="555"/>
      <c r="C15" s="555"/>
      <c r="D15" s="555"/>
      <c r="E15" s="555"/>
      <c r="F15" s="555"/>
      <c r="G15" s="555"/>
      <c r="H15" s="555"/>
      <c r="I15" s="555"/>
      <c r="J15" s="555"/>
      <c r="K15" s="555"/>
      <c r="L15" s="450"/>
      <c r="M15" s="450"/>
      <c r="N15" s="450"/>
      <c r="O15" s="463"/>
      <c r="P15" s="463"/>
      <c r="Q15" s="463"/>
      <c r="R15" s="463"/>
      <c r="S15" s="463"/>
      <c r="T15" s="463"/>
      <c r="U15" s="463"/>
      <c r="V15" s="463"/>
    </row>
    <row r="16" spans="1:22">
      <c r="A16" s="463"/>
      <c r="B16" s="463"/>
      <c r="C16" s="463"/>
      <c r="D16" s="463"/>
      <c r="E16" s="463"/>
      <c r="F16" s="463"/>
      <c r="G16" s="463"/>
      <c r="H16" s="463"/>
      <c r="I16" s="463"/>
      <c r="J16" s="463"/>
      <c r="K16" s="463"/>
      <c r="L16" s="463"/>
      <c r="M16" s="463"/>
      <c r="N16" s="463"/>
      <c r="O16" s="463"/>
      <c r="P16" s="463"/>
      <c r="Q16" s="463"/>
      <c r="R16" s="463"/>
      <c r="S16" s="463"/>
      <c r="T16" s="463"/>
      <c r="U16" s="463"/>
      <c r="V16" s="463"/>
    </row>
    <row r="17" spans="1:22">
      <c r="A17" s="463"/>
      <c r="B17" s="463"/>
      <c r="C17" s="463"/>
      <c r="D17" s="463"/>
      <c r="E17" s="463"/>
      <c r="F17" s="463"/>
      <c r="G17" s="463"/>
      <c r="H17" s="463"/>
      <c r="I17" s="463"/>
      <c r="J17" s="463"/>
      <c r="K17" s="463"/>
      <c r="L17" s="463"/>
      <c r="M17" s="463"/>
      <c r="N17" s="463"/>
      <c r="O17" s="463"/>
      <c r="P17" s="463"/>
      <c r="Q17" s="463"/>
      <c r="R17" s="463"/>
      <c r="S17" s="463"/>
      <c r="T17" s="463"/>
      <c r="U17" s="463"/>
      <c r="V17" s="463"/>
    </row>
    <row r="18" spans="1:22">
      <c r="A18" s="463"/>
      <c r="B18" s="463"/>
      <c r="C18" s="463"/>
      <c r="D18" s="463"/>
      <c r="E18" s="463"/>
      <c r="F18" s="463"/>
      <c r="G18" s="463"/>
      <c r="H18" s="463"/>
      <c r="I18" s="463"/>
      <c r="J18" s="463"/>
      <c r="K18" s="463"/>
      <c r="L18" s="463"/>
      <c r="M18" s="463"/>
      <c r="N18" s="463"/>
      <c r="O18" s="463"/>
      <c r="P18" s="463"/>
      <c r="Q18" s="463"/>
      <c r="R18" s="463"/>
      <c r="S18" s="463"/>
      <c r="T18" s="463"/>
      <c r="U18" s="463"/>
      <c r="V18" s="463"/>
    </row>
    <row r="19" spans="1:22">
      <c r="A19" s="463"/>
      <c r="B19" s="463"/>
      <c r="C19" s="463"/>
      <c r="D19" s="463"/>
      <c r="E19" s="463"/>
      <c r="F19" s="463"/>
      <c r="G19" s="463"/>
      <c r="H19" s="463"/>
      <c r="I19" s="463"/>
      <c r="J19" s="463"/>
      <c r="K19" s="463"/>
      <c r="L19" s="463"/>
      <c r="M19" s="463"/>
      <c r="N19" s="463"/>
      <c r="O19" s="463"/>
      <c r="P19" s="463"/>
      <c r="Q19" s="463"/>
      <c r="R19" s="463"/>
      <c r="S19" s="463"/>
      <c r="T19" s="463"/>
      <c r="U19" s="463"/>
      <c r="V19" s="463"/>
    </row>
    <row r="20" spans="1:22">
      <c r="A20" s="463"/>
      <c r="B20" s="463"/>
      <c r="C20" s="463"/>
      <c r="D20" s="463"/>
      <c r="E20" s="463"/>
      <c r="F20" s="463"/>
      <c r="G20" s="463"/>
      <c r="H20" s="463"/>
      <c r="I20" s="463"/>
      <c r="J20" s="463"/>
      <c r="K20" s="463"/>
      <c r="L20" s="463"/>
      <c r="M20" s="463"/>
      <c r="N20" s="463"/>
      <c r="O20" s="463"/>
      <c r="P20" s="463"/>
      <c r="Q20" s="463"/>
      <c r="R20" s="463"/>
      <c r="S20" s="463"/>
      <c r="T20" s="463"/>
      <c r="U20" s="463"/>
      <c r="V20" s="463"/>
    </row>
    <row r="21" spans="1:22">
      <c r="A21" s="463"/>
      <c r="B21" s="463"/>
      <c r="C21" s="463"/>
      <c r="D21" s="463"/>
      <c r="E21" s="463"/>
      <c r="F21" s="463"/>
      <c r="G21" s="463"/>
      <c r="H21" s="463"/>
      <c r="I21" s="463"/>
      <c r="J21" s="463"/>
      <c r="K21" s="463"/>
      <c r="L21" s="463"/>
      <c r="M21" s="463"/>
      <c r="N21" s="463"/>
      <c r="O21" s="463"/>
      <c r="P21" s="463"/>
      <c r="Q21" s="463"/>
      <c r="R21" s="463"/>
      <c r="S21" s="463"/>
      <c r="T21" s="463"/>
      <c r="U21" s="463"/>
      <c r="V21" s="463"/>
    </row>
    <row r="22" spans="1:22">
      <c r="A22" s="463"/>
      <c r="B22" s="463"/>
      <c r="C22" s="463"/>
      <c r="D22" s="463"/>
      <c r="E22" s="463"/>
      <c r="F22" s="463"/>
      <c r="G22" s="463"/>
      <c r="H22" s="463"/>
      <c r="I22" s="463"/>
      <c r="J22" s="463"/>
      <c r="K22" s="463"/>
      <c r="L22" s="463"/>
      <c r="M22" s="463"/>
      <c r="N22" s="463"/>
      <c r="O22" s="463"/>
      <c r="P22" s="463"/>
      <c r="Q22" s="463"/>
      <c r="R22" s="463"/>
      <c r="S22" s="463"/>
      <c r="T22" s="463"/>
      <c r="U22" s="463"/>
      <c r="V22" s="463"/>
    </row>
    <row r="23" spans="1:22">
      <c r="A23" s="463"/>
      <c r="B23" s="463"/>
      <c r="C23" s="463"/>
      <c r="D23" s="463"/>
      <c r="E23" s="463"/>
      <c r="F23" s="463"/>
      <c r="G23" s="463"/>
      <c r="H23" s="463"/>
      <c r="I23" s="463"/>
      <c r="J23" s="463"/>
      <c r="K23" s="463"/>
      <c r="L23" s="463"/>
      <c r="M23" s="463"/>
      <c r="N23" s="463"/>
      <c r="O23" s="463"/>
      <c r="P23" s="463"/>
      <c r="Q23" s="463"/>
      <c r="R23" s="463"/>
      <c r="S23" s="463"/>
      <c r="T23" s="463"/>
      <c r="U23" s="463"/>
      <c r="V23" s="463"/>
    </row>
  </sheetData>
  <sheetProtection algorithmName="SHA-512" hashValue="OBqdE++6nlQFqt3Vv73HvFoGa/sXlFWjPTNSw4znT8IwF5JVrgtnW2sdeHQV9en/q+Trx1PrNwUEP9vbMMXkIw==" saltValue="2IYIa1y0N7aHFzdZx+LI1g==" spinCount="100000" sheet="1" objects="1" scenarios="1"/>
  <mergeCells count="8">
    <mergeCell ref="B8:J8"/>
    <mergeCell ref="B12:J12"/>
    <mergeCell ref="K9:L9"/>
    <mergeCell ref="C14:L14"/>
    <mergeCell ref="B15:K15"/>
    <mergeCell ref="C4:F4"/>
    <mergeCell ref="B6:K6"/>
    <mergeCell ref="B10:H10"/>
  </mergeCells>
  <hyperlinks>
    <hyperlink ref="K9:L9" location="Istruzioni!A1" display="Start &gt;&gt;"/>
  </hyperlinks>
  <pageMargins left="0.7" right="0.7" top="0.75" bottom="0.75" header="0.3" footer="0.3"/>
  <drawing r:id="rId1"/>
  <legacyDrawing r:id="rId2"/>
  <oleObjects>
    <mc:AlternateContent xmlns:mc="http://schemas.openxmlformats.org/markup-compatibility/2006">
      <mc:Choice Requires="x14">
        <oleObject progId="PBrush" shapeId="18435" r:id="rId3">
          <objectPr defaultSize="0" autoPict="0" r:id="rId4">
            <anchor moveWithCells="1" sizeWithCells="1">
              <from>
                <xdr:col>0</xdr:col>
                <xdr:colOff>63500</xdr:colOff>
                <xdr:row>0</xdr:row>
                <xdr:rowOff>57150</xdr:rowOff>
              </from>
              <to>
                <xdr:col>1</xdr:col>
                <xdr:colOff>95250</xdr:colOff>
                <xdr:row>3</xdr:row>
                <xdr:rowOff>19050</xdr:rowOff>
              </to>
            </anchor>
          </objectPr>
        </oleObject>
      </mc:Choice>
      <mc:Fallback>
        <oleObject progId="PBrush" shapeId="1843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vt:i4>
      </vt:variant>
      <vt:variant>
        <vt:lpstr>Intervalos com nome</vt:lpstr>
      </vt:variant>
      <vt:variant>
        <vt:i4>11</vt:i4>
      </vt:variant>
    </vt:vector>
  </HeadingPairs>
  <TitlesOfParts>
    <vt:vector size="20" baseType="lpstr">
      <vt:lpstr>Istruzioni</vt:lpstr>
      <vt:lpstr>Parametri</vt:lpstr>
      <vt:lpstr>Acidi &amp; concimi</vt:lpstr>
      <vt:lpstr>Formule nutritive</vt:lpstr>
      <vt:lpstr>Calcolo</vt:lpstr>
      <vt:lpstr>Stampa</vt:lpstr>
      <vt:lpstr>Test precipitazioni</vt:lpstr>
      <vt:lpstr>Convertitore</vt:lpstr>
      <vt:lpstr>home</vt:lpstr>
      <vt:lpstr>Calcolo!Área_de_Impressão</vt:lpstr>
      <vt:lpstr>Convertitore!Área_de_Impressão</vt:lpstr>
      <vt:lpstr>'Formule nutritive'!Área_de_Impressão</vt:lpstr>
      <vt:lpstr>Istruzioni!Área_de_Impressão</vt:lpstr>
      <vt:lpstr>Parametri!Área_de_Impressão</vt:lpstr>
      <vt:lpstr>Stampa!Área_de_Impressão</vt:lpstr>
      <vt:lpstr>'Test precipitazioni'!Área_de_Impressão</vt:lpstr>
      <vt:lpstr>Coltura_Stadio</vt:lpstr>
      <vt:lpstr>elenco_ricette</vt:lpstr>
      <vt:lpstr>precip_A</vt:lpstr>
      <vt:lpstr>precip_B</vt:lpstr>
    </vt:vector>
  </TitlesOfParts>
  <Company>pippo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Henrique Ribeiro</dc:creator>
  <cp:lastModifiedBy>Henrique Ribeiro</cp:lastModifiedBy>
  <cp:lastPrinted>2011-10-03T10:38:53Z</cp:lastPrinted>
  <dcterms:created xsi:type="dcterms:W3CDTF">2001-02-16T07:33:16Z</dcterms:created>
  <dcterms:modified xsi:type="dcterms:W3CDTF">2020-12-16T07:42:47Z</dcterms:modified>
</cp:coreProperties>
</file>